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2'!$A$1:$P$109</definedName>
    <definedName name="_xlnm.Print_Area" localSheetId="1">'Додаток 3'!$A$1:$P$139</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I1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<sst xmlns="http://schemas.openxmlformats.org/spreadsheetml/2006/main" count="435" uniqueCount="188">
  <si>
    <t>Додаток 3</t>
  </si>
  <si>
    <t>до рішення районної у місті ради</t>
  </si>
  <si>
    <t>від________________№________</t>
  </si>
  <si>
    <t xml:space="preserve">Розподіл  видатків  бюджету  району  у  місті  на  2016 рік </t>
  </si>
  <si>
    <t>тис.грн.</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</si>
  <si>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</si>
  <si>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</si>
  <si>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</si>
  <si>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</si>
  <si>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</si>
  <si>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</si>
  <si>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</si>
  <si>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</si>
  <si>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</si>
  <si>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</si>
  <si>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</si>
  <si>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</si>
  <si>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</si>
  <si>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</si>
  <si>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</si>
  <si>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</si>
  <si>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</si>
  <si>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</si>
  <si>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</si>
  <si>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</si>
  <si>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</si>
  <si>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010000</t>
  </si>
  <si>
    <t>Державне управління</t>
  </si>
  <si>
    <t>010116</t>
  </si>
  <si>
    <t>0111</t>
  </si>
  <si>
    <t>Органи місцевого самоврядування, утримання апарату управління</t>
  </si>
  <si>
    <t>090000</t>
  </si>
  <si>
    <t>Соціальний захист та соціальне забезпечення</t>
  </si>
  <si>
    <t>091101</t>
  </si>
  <si>
    <t>1040</t>
  </si>
  <si>
    <t xml:space="preserve">Утримання центру соціальних служб для сім"ї, дітей та молоді </t>
  </si>
  <si>
    <t>110000</t>
  </si>
  <si>
    <t>Культура і мистецтво</t>
  </si>
  <si>
    <t>110104</t>
  </si>
  <si>
    <t>0829</t>
  </si>
  <si>
    <t>Видатки на заходи , передбачені державними і місцевими програмами розвитку культури і мистецтва</t>
  </si>
  <si>
    <t>в тому числі:</t>
  </si>
  <si>
    <t>100000</t>
  </si>
  <si>
    <t>Житлово-комунальне господарство</t>
  </si>
  <si>
    <t>100203</t>
  </si>
  <si>
    <t>0620</t>
  </si>
  <si>
    <t>Благоустрій  міст, сіл, селищ</t>
  </si>
  <si>
    <t>в тому числі за рахунок субвенції з міського бюджету:</t>
  </si>
  <si>
    <t>090201</t>
  </si>
  <si>
    <t>1030</t>
  </si>
  <si>
    <t>090202</t>
  </si>
  <si>
    <t>090204</t>
  </si>
  <si>
    <t>090207</t>
  </si>
  <si>
    <t>1070</t>
  </si>
  <si>
    <t>090215</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</si>
  <si>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</si>
  <si>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</si>
  <si>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</si>
  <si>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</si>
  <si>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</si>
  <si>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</si>
  <si>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</si>
  <si>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</si>
  <si>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</si>
  <si>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</si>
  <si>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</si>
  <si>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</si>
  <si>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</si>
  <si>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</si>
  <si>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</si>
  <si>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</si>
  <si>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r>
      <t>Державна соціальна допомога малозабезпеченим сім</t>
    </r>
    <r>
      <rPr>
        <sz val="10"/>
        <rFont val="Bookman Old Style"/>
        <family val="1"/>
      </rPr>
      <t>’</t>
    </r>
    <r>
      <rPr>
        <sz val="10"/>
        <rFont val="Arial Cyr"/>
        <family val="0"/>
      </rPr>
      <t>ям</t>
    </r>
  </si>
  <si>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</si>
  <si>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</si>
  <si>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</si>
  <si>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</si>
  <si>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</si>
  <si>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</si>
  <si>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</si>
  <si>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</si>
  <si>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</si>
  <si>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</si>
  <si>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I-II групи внаслідок психічного розладу</t>
  </si>
  <si>
    <t>090501</t>
  </si>
  <si>
    <t>1050</t>
  </si>
  <si>
    <t>Організація та проведення громадських робіт</t>
  </si>
  <si>
    <t>091204</t>
  </si>
  <si>
    <t>1020</t>
  </si>
  <si>
    <t>Територіальні центри соціального обслуговування (надання соціальних послуг)</t>
  </si>
  <si>
    <t>091205</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</si>
  <si>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</si>
  <si>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</si>
  <si>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</si>
  <si>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</si>
  <si>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070000</t>
  </si>
  <si>
    <t>Освіта</t>
  </si>
  <si>
    <t>070303</t>
  </si>
  <si>
    <t>0910</t>
  </si>
  <si>
    <t>Дитячи будинки ( в т.ч. сімейного типу, прийомні сім"ї)</t>
  </si>
  <si>
    <t>070101</t>
  </si>
  <si>
    <t>Дошкільні  заклади освіти</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</si>
  <si>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</si>
  <si>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</si>
  <si>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</si>
  <si>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</si>
  <si>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в тому числі за рахунок субвенції з міського бюджету</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</si>
  <si>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</si>
  <si>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</si>
  <si>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</si>
  <si>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</si>
  <si>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</si>
  <si>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</si>
  <si>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</si>
  <si>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</si>
  <si>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</si>
  <si>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</si>
  <si>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</si>
  <si>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</si>
  <si>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</si>
  <si>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</si>
  <si>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091108</t>
  </si>
  <si>
    <t>Всього:</t>
  </si>
  <si>
    <t>М.П.Ситник</t>
  </si>
  <si>
    <t>осв  субвенц</t>
  </si>
  <si>
    <t>Державне управління, всього</t>
  </si>
  <si>
    <t>Дошкільні заклади освіти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</si>
  <si>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</si>
  <si>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</si>
  <si>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</si>
  <si>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</si>
  <si>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</si>
  <si>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</si>
  <si>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</si>
  <si>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Освіта, всього</t>
  </si>
  <si>
    <t>Соціальний захист та соціальне забезпечення, всього</t>
  </si>
  <si>
    <t>Житлово-комунальне господарство,всього</t>
  </si>
  <si>
    <t>Культура і мистецтво,всього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</si>
  <si>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</si>
  <si>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</si>
  <si>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</si>
  <si>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</si>
  <si>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</si>
  <si>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</si>
  <si>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</si>
  <si>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</si>
  <si>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 на демонтаж пам"ятників та пам"ятних знаків епохи тоталітарного режиму</t>
  </si>
  <si>
    <t>в тому числі субвенція з міського бюджету</t>
  </si>
  <si>
    <t>в тому числі  субвенція з міського бюджету на оздоровлення дітей у пришкільних таборах</t>
  </si>
  <si>
    <t>01 Районна у місті рада, всього:</t>
  </si>
  <si>
    <t>41 Відділ комунального господарства  районної у місти ради , всього:</t>
  </si>
  <si>
    <t>15 Управління праці та соціального захисту населення  районної у місті ради, всього:</t>
  </si>
  <si>
    <t>10 Відділ освіти районної у місті ради, всього:</t>
  </si>
  <si>
    <t>20 Управління-служба у справах дітей районної у місті ради, всього</t>
  </si>
  <si>
    <t>75 Фінансове управління районної у місті ради, всього:</t>
  </si>
  <si>
    <t>Розподіл  видатків  бюджету  району  у  місті  на  2016 рік за тимчасовою класифікацією видатків та кредитування місцевих бюджетів</t>
  </si>
  <si>
    <t xml:space="preserve"> Видатки загального  фонду</t>
  </si>
  <si>
    <t>Голова районної у місті ради</t>
  </si>
  <si>
    <t>Голова районної у місті  ради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</si>
  <si>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</si>
  <si>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</si>
  <si>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Додаток 2</t>
  </si>
  <si>
    <t xml:space="preserve">                                          Видатки спеціального фонду</t>
  </si>
  <si>
    <t>091103</t>
  </si>
  <si>
    <t xml:space="preserve">Соціальні програми і заходи державних органів у справах молоді </t>
  </si>
  <si>
    <t>130000</t>
  </si>
  <si>
    <t>Фізична культура і спорт, всього:</t>
  </si>
  <si>
    <t>130102</t>
  </si>
  <si>
    <t>130106</t>
  </si>
  <si>
    <t>0810</t>
  </si>
  <si>
    <t>Проведення навчально-тренувальних зборів і змагань</t>
  </si>
  <si>
    <t>Проведення навчально-тренувальних зборів і змагань з неолімпійських видів спорту</t>
  </si>
  <si>
    <t>090802</t>
  </si>
  <si>
    <t>Інші програми соціального захисту дітей</t>
  </si>
  <si>
    <t>250404</t>
  </si>
  <si>
    <t>0133</t>
  </si>
  <si>
    <t xml:space="preserve"> Інші видатки</t>
  </si>
  <si>
    <t>Інші видатки</t>
  </si>
  <si>
    <t>250000</t>
  </si>
  <si>
    <t>Видатки, не віднесені до основних груп, всього</t>
  </si>
  <si>
    <t>Фізична культура і спорт, всього</t>
  </si>
  <si>
    <t>в тому числі за рахунок коштів субвенції з міського бюджету</t>
  </si>
  <si>
    <t>в тому числі субвенція на ліквідацію стихійних сміттєзвалищ</t>
  </si>
  <si>
    <t>180000</t>
  </si>
  <si>
    <t>180107</t>
  </si>
  <si>
    <t>0470</t>
  </si>
  <si>
    <t>Інші послуги,пов"язані з економічної діяльності</t>
  </si>
  <si>
    <t>Фінансування енергозберігаючих заходів</t>
  </si>
  <si>
    <t>Інші послуги, пов "язані з економічної діяльності</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</si>
</sst>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sz val="11"/>
      <name val="Arial"/>
      <family val="2"/>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1"/>
      <name val="Times New Roman"/>
      <family val="1"/>
    </font>
    <font>
      <sz val="12"/>
      <name val="Arial Cyr"/>
      <family val="0"/>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thin"/>
      <top style="medium"/>
      <bottom style="thin"/>
    </border>
    <border>
      <left>
        <color indexed="63"/>
      </left>
      <right style="thin"/>
      <top style="thin"/>
      <bottom>
        <color indexed="63"/>
      </bottom>
    </border>
    <border>
      <left style="thin"/>
      <right style="thin"/>
      <top style="thin"/>
      <bottom style="mediu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style="medium"/>
    </border>
    <border>
      <left style="medium"/>
      <right style="medium"/>
      <top style="medium"/>
      <bottom style="medium"/>
    </border>
    <border>
      <left>
        <color indexed="63"/>
      </left>
      <right>
        <color indexed="63"/>
      </right>
      <top style="thin"/>
      <bottom style="thin"/>
    </border>
    <border>
      <left style="medium"/>
      <right style="medium"/>
      <top>
        <color indexed="63"/>
      </top>
      <bottom style="thin"/>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style="thin"/>
      <right>
        <color indexed="63"/>
      </right>
      <top style="thin"/>
      <bottom style="medium"/>
    </border>
    <border>
      <left style="medium"/>
      <right style="medium"/>
      <top style="thin"/>
      <bottom style="medium"/>
    </border>
    <border>
      <left>
        <color indexed="63"/>
      </left>
      <right>
        <color indexed="63"/>
      </right>
      <top style="thin"/>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style="medium"/>
      <top>
        <color indexed="63"/>
      </top>
      <bottom style="medium"/>
    </border>
    <border>
      <left style="medium"/>
      <right>
        <color indexed="63"/>
      </right>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style="thin"/>
      <bottom style="medium"/>
    </border>
    <border>
      <left style="medium"/>
      <right style="thin"/>
      <top style="thin"/>
      <bottom style="thin"/>
    </border>
    <border>
      <left>
        <color indexed="63"/>
      </left>
      <right>
        <color indexed="63"/>
      </right>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50">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 fontId="0" fillId="24" borderId="10" xfId="0" applyNumberFormat="1" applyFon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1" xfId="0" applyFill="1" applyBorder="1" applyAlignment="1">
      <alignment horizontal="center"/>
    </xf>
    <xf numFmtId="0" fontId="0" fillId="24" borderId="12" xfId="0" applyFill="1" applyBorder="1" applyAlignment="1">
      <alignment horizontal="center" vertical="center" wrapText="1"/>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49" fontId="33" fillId="24" borderId="18" xfId="0" applyNumberFormat="1" applyFont="1" applyFill="1" applyBorder="1" applyAlignment="1">
      <alignment horizontal="center" vertical="center"/>
    </xf>
    <xf numFmtId="1" fontId="0" fillId="24" borderId="19" xfId="0" applyNumberFormat="1" applyFont="1" applyFill="1" applyBorder="1" applyAlignment="1">
      <alignment horizontal="center" vertical="center"/>
    </xf>
    <xf numFmtId="0" fontId="33" fillId="24" borderId="20" xfId="0" applyFont="1" applyFill="1" applyBorder="1" applyAlignment="1">
      <alignment vertical="center" wrapText="1"/>
    </xf>
    <xf numFmtId="1" fontId="0" fillId="24" borderId="19" xfId="0" applyNumberFormat="1" applyFill="1" applyBorder="1" applyAlignment="1">
      <alignment horizontal="center" vertical="center"/>
    </xf>
    <xf numFmtId="1" fontId="0" fillId="24" borderId="21" xfId="0" applyNumberFormat="1" applyFill="1" applyBorder="1" applyAlignment="1">
      <alignment horizontal="center" vertical="center"/>
    </xf>
    <xf numFmtId="1" fontId="0" fillId="24" borderId="10" xfId="0" applyNumberFormat="1" applyFill="1" applyBorder="1" applyAlignment="1">
      <alignment horizontal="center" vertical="center"/>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49" fontId="33" fillId="24" borderId="12" xfId="0" applyNumberFormat="1" applyFont="1" applyFill="1" applyBorder="1" applyAlignment="1">
      <alignment horizontal="center" vertical="center"/>
    </xf>
    <xf numFmtId="1" fontId="0" fillId="24" borderId="24" xfId="0" applyNumberFormat="1" applyFill="1" applyBorder="1" applyAlignment="1">
      <alignment horizontal="center" vertical="center"/>
    </xf>
    <xf numFmtId="1" fontId="0" fillId="24" borderId="25" xfId="0" applyNumberFormat="1" applyFill="1" applyBorder="1" applyAlignment="1">
      <alignment horizontal="center" vertical="center"/>
    </xf>
    <xf numFmtId="49" fontId="33" fillId="24" borderId="26" xfId="0" applyNumberFormat="1" applyFont="1" applyFill="1" applyBorder="1" applyAlignment="1">
      <alignment horizontal="center" vertical="center"/>
    </xf>
    <xf numFmtId="0" fontId="33" fillId="24" borderId="20" xfId="0" applyNumberFormat="1" applyFont="1" applyFill="1" applyBorder="1" applyAlignment="1">
      <alignment vertical="center" wrapText="1"/>
    </xf>
    <xf numFmtId="1" fontId="0" fillId="24" borderId="27" xfId="0" applyNumberFormat="1" applyFill="1" applyBorder="1" applyAlignment="1">
      <alignment horizontal="center" vertical="center"/>
    </xf>
    <xf numFmtId="49" fontId="33" fillId="24" borderId="11" xfId="0" applyNumberFormat="1" applyFont="1" applyFill="1" applyBorder="1" applyAlignment="1">
      <alignment horizontal="center" vertical="center"/>
    </xf>
    <xf numFmtId="1" fontId="0" fillId="24" borderId="19" xfId="0" applyNumberFormat="1" applyFill="1" applyBorder="1" applyAlignment="1">
      <alignment horizontal="center" vertical="center" wrapText="1"/>
    </xf>
    <xf numFmtId="1" fontId="0" fillId="24" borderId="28"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13"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0" xfId="0" applyNumberFormat="1" applyFon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0" xfId="0" applyNumberFormat="1" applyFill="1" applyBorder="1" applyAlignment="1">
      <alignment horizontal="center" vertical="center" wrapText="1"/>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3" fillId="24" borderId="33" xfId="0" applyFont="1" applyFill="1" applyBorder="1" applyAlignment="1">
      <alignment vertical="center" wrapText="1"/>
    </xf>
    <xf numFmtId="0" fontId="33" fillId="24" borderId="30" xfId="0" applyFont="1" applyFill="1" applyBorder="1" applyAlignment="1">
      <alignment vertical="center" wrapText="1"/>
    </xf>
    <xf numFmtId="0" fontId="33" fillId="24" borderId="38" xfId="0" applyFont="1" applyFill="1" applyBorder="1" applyAlignment="1">
      <alignment vertical="center" wrapText="1"/>
    </xf>
    <xf numFmtId="0" fontId="33" fillId="24" borderId="35" xfId="0" applyNumberFormat="1" applyFont="1" applyFill="1" applyBorder="1" applyAlignment="1">
      <alignment vertical="center" wrapText="1"/>
    </xf>
    <xf numFmtId="0" fontId="33" fillId="24" borderId="32" xfId="0" applyFont="1" applyFill="1" applyBorder="1" applyAlignment="1">
      <alignment vertical="center" wrapText="1"/>
    </xf>
    <xf numFmtId="0" fontId="33" fillId="24" borderId="35" xfId="0" applyFont="1" applyFill="1" applyBorder="1" applyAlignment="1">
      <alignment vertical="center" wrapText="1"/>
    </xf>
    <xf numFmtId="0" fontId="36" fillId="24" borderId="0" xfId="0" applyFont="1" applyFill="1" applyBorder="1" applyAlignment="1">
      <alignment wrapText="1"/>
    </xf>
    <xf numFmtId="165" fontId="36" fillId="24" borderId="0" xfId="0" applyNumberFormat="1" applyFont="1" applyFill="1" applyBorder="1" applyAlignment="1">
      <alignment/>
    </xf>
    <xf numFmtId="0" fontId="36" fillId="24" borderId="0" xfId="0" applyFont="1" applyFill="1" applyBorder="1" applyAlignment="1">
      <alignment/>
    </xf>
    <xf numFmtId="49" fontId="33" fillId="24" borderId="26" xfId="0" applyNumberFormat="1" applyFont="1" applyFill="1" applyBorder="1" applyAlignment="1">
      <alignment horizontal="center" vertical="center" wrapText="1"/>
    </xf>
    <xf numFmtId="0" fontId="35" fillId="24" borderId="13" xfId="0" applyNumberFormat="1" applyFont="1" applyFill="1" applyBorder="1" applyAlignment="1">
      <alignment vertical="center" wrapText="1"/>
    </xf>
    <xf numFmtId="49" fontId="0" fillId="0" borderId="20" xfId="0" applyNumberFormat="1" applyFill="1" applyBorder="1" applyAlignment="1">
      <alignment horizontal="center" vertical="center"/>
    </xf>
    <xf numFmtId="0" fontId="0" fillId="0" borderId="39" xfId="0" applyFill="1" applyBorder="1" applyAlignment="1">
      <alignment vertical="center" wrapText="1"/>
    </xf>
    <xf numFmtId="1" fontId="0" fillId="0" borderId="19"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0" fontId="25" fillId="0" borderId="41" xfId="0" applyFont="1" applyFill="1" applyBorder="1" applyAlignment="1">
      <alignment vertical="center" wrapText="1"/>
    </xf>
    <xf numFmtId="1" fontId="0" fillId="0" borderId="19"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0" borderId="40" xfId="0" applyNumberFormat="1" applyFill="1" applyBorder="1" applyAlignment="1">
      <alignment horizontal="center" vertical="center"/>
    </xf>
    <xf numFmtId="0" fontId="26" fillId="0" borderId="39" xfId="0" applyFont="1" applyFill="1" applyBorder="1" applyAlignment="1">
      <alignment vertical="center" wrapText="1"/>
    </xf>
    <xf numFmtId="0" fontId="14" fillId="0" borderId="41" xfId="0" applyFont="1" applyFill="1" applyBorder="1" applyAlignment="1">
      <alignment vertical="center" wrapText="1"/>
    </xf>
    <xf numFmtId="0" fontId="27" fillId="0" borderId="41" xfId="0" applyFont="1" applyFill="1" applyBorder="1" applyAlignment="1">
      <alignment vertical="center" wrapText="1"/>
    </xf>
    <xf numFmtId="0" fontId="14" fillId="0" borderId="39" xfId="0" applyFont="1" applyFill="1" applyBorder="1" applyAlignment="1">
      <alignment vertical="center" wrapText="1"/>
    </xf>
    <xf numFmtId="1" fontId="0" fillId="0" borderId="29" xfId="0" applyNumberFormat="1" applyFont="1" applyFill="1" applyBorder="1" applyAlignment="1">
      <alignment horizontal="center" vertical="center"/>
    </xf>
    <xf numFmtId="0" fontId="25" fillId="0" borderId="39" xfId="0" applyFont="1" applyFill="1" applyBorder="1" applyAlignment="1">
      <alignment vertical="center" wrapText="1"/>
    </xf>
    <xf numFmtId="1" fontId="0" fillId="0" borderId="42" xfId="0" applyNumberFormat="1" applyFill="1" applyBorder="1" applyAlignment="1">
      <alignment horizontal="center" vertical="center"/>
    </xf>
    <xf numFmtId="49" fontId="25" fillId="0" borderId="30"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28" fillId="0" borderId="39" xfId="0" applyFont="1" applyFill="1" applyBorder="1" applyAlignment="1">
      <alignment vertical="center" wrapText="1"/>
    </xf>
    <xf numFmtId="1" fontId="0" fillId="0" borderId="29" xfId="0" applyNumberForma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41" xfId="0" applyFont="1" applyFill="1" applyBorder="1" applyAlignment="1">
      <alignment vertical="center" wrapText="1"/>
    </xf>
    <xf numFmtId="1" fontId="0" fillId="0" borderId="23"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0" fillId="0" borderId="45" xfId="0" applyNumberFormat="1" applyFill="1" applyBorder="1" applyAlignment="1">
      <alignment horizontal="center" vertical="center"/>
    </xf>
    <xf numFmtId="1" fontId="0" fillId="0" borderId="46" xfId="0" applyNumberFormat="1" applyFill="1" applyBorder="1" applyAlignment="1">
      <alignment horizontal="center" vertical="center"/>
    </xf>
    <xf numFmtId="1" fontId="0" fillId="0" borderId="47" xfId="0" applyNumberFormat="1" applyFill="1" applyBorder="1" applyAlignment="1">
      <alignment horizontal="center" vertical="center"/>
    </xf>
    <xf numFmtId="1" fontId="0" fillId="0" borderId="25" xfId="0" applyNumberFormat="1" applyFill="1" applyBorder="1" applyAlignment="1">
      <alignment horizontal="center" vertical="center"/>
    </xf>
    <xf numFmtId="1" fontId="0" fillId="0" borderId="48"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27" xfId="0" applyNumberFormat="1" applyFill="1" applyBorder="1" applyAlignment="1">
      <alignment horizontal="center" vertical="center"/>
    </xf>
    <xf numFmtId="1" fontId="0" fillId="0" borderId="24" xfId="0" applyNumberFormat="1" applyFill="1" applyBorder="1" applyAlignment="1">
      <alignment horizontal="center" vertical="center"/>
    </xf>
    <xf numFmtId="1" fontId="0" fillId="0" borderId="34" xfId="0" applyNumberFormat="1" applyFill="1" applyBorder="1" applyAlignment="1">
      <alignment horizontal="center" vertical="center"/>
    </xf>
    <xf numFmtId="1" fontId="0" fillId="0" borderId="49" xfId="0" applyNumberFormat="1" applyFill="1" applyBorder="1" applyAlignment="1">
      <alignment horizontal="center" vertical="center"/>
    </xf>
    <xf numFmtId="1" fontId="0" fillId="0" borderId="50" xfId="0" applyNumberFormat="1" applyFill="1" applyBorder="1" applyAlignment="1">
      <alignment horizontal="center" vertical="center"/>
    </xf>
    <xf numFmtId="0" fontId="25" fillId="0" borderId="51" xfId="0" applyFont="1" applyFill="1" applyBorder="1" applyAlignment="1">
      <alignment vertical="center" wrapText="1"/>
    </xf>
    <xf numFmtId="1" fontId="0" fillId="0" borderId="10"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0" fontId="24" fillId="0" borderId="41" xfId="0" applyFont="1" applyFill="1" applyBorder="1" applyAlignment="1">
      <alignment vertical="center" wrapText="1"/>
    </xf>
    <xf numFmtId="49" fontId="33" fillId="24" borderId="18" xfId="0" applyNumberFormat="1" applyFont="1" applyFill="1" applyBorder="1" applyAlignment="1">
      <alignment horizontal="center" vertical="center" wrapText="1"/>
    </xf>
    <xf numFmtId="1" fontId="0" fillId="24" borderId="23" xfId="0" applyNumberFormat="1" applyFont="1" applyFill="1" applyBorder="1" applyAlignment="1">
      <alignment horizontal="center" vertical="center"/>
    </xf>
    <xf numFmtId="1" fontId="0" fillId="24" borderId="53" xfId="0" applyNumberFormat="1" applyFill="1" applyBorder="1" applyAlignment="1">
      <alignment horizontal="center" vertical="center"/>
    </xf>
    <xf numFmtId="1" fontId="0" fillId="24" borderId="53" xfId="0" applyNumberFormat="1" applyFont="1" applyFill="1" applyBorder="1" applyAlignment="1">
      <alignment horizontal="center" vertical="center"/>
    </xf>
    <xf numFmtId="1" fontId="0" fillId="24" borderId="15" xfId="0" applyNumberFormat="1" applyFill="1" applyBorder="1" applyAlignment="1">
      <alignment horizontal="center" vertical="center"/>
    </xf>
    <xf numFmtId="1" fontId="0" fillId="24" borderId="54" xfId="0" applyNumberFormat="1" applyFill="1" applyBorder="1" applyAlignment="1">
      <alignment horizontal="center" vertical="center"/>
    </xf>
    <xf numFmtId="1" fontId="0" fillId="24" borderId="29" xfId="0" applyNumberFormat="1" applyFill="1" applyBorder="1" applyAlignment="1">
      <alignment horizontal="center" vertical="center" wrapText="1"/>
    </xf>
    <xf numFmtId="1" fontId="0" fillId="24" borderId="33" xfId="0" applyNumberFormat="1" applyFill="1" applyBorder="1" applyAlignment="1">
      <alignment horizontal="center" vertical="center" wrapText="1"/>
    </xf>
    <xf numFmtId="49" fontId="33" fillId="24" borderId="55" xfId="0" applyNumberFormat="1" applyFont="1" applyFill="1" applyBorder="1" applyAlignment="1">
      <alignment horizontal="center" vertical="center"/>
    </xf>
    <xf numFmtId="0" fontId="33" fillId="24" borderId="20" xfId="53" applyFont="1" applyFill="1" applyBorder="1" applyAlignment="1">
      <alignment vertical="center" wrapText="1"/>
      <protection/>
    </xf>
    <xf numFmtId="0" fontId="33" fillId="0" borderId="20" xfId="0" applyFont="1" applyFill="1" applyBorder="1" applyAlignment="1">
      <alignment vertical="center" wrapText="1"/>
    </xf>
    <xf numFmtId="1" fontId="0" fillId="0" borderId="20" xfId="0" applyNumberFormat="1" applyFont="1" applyFill="1" applyBorder="1" applyAlignment="1">
      <alignment horizontal="center" vertical="center"/>
    </xf>
    <xf numFmtId="1" fontId="0" fillId="0" borderId="36"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20" xfId="0" applyNumberFormat="1" applyFill="1" applyBorder="1" applyAlignment="1">
      <alignment horizontal="center" vertical="center"/>
    </xf>
    <xf numFmtId="49" fontId="33" fillId="0" borderId="20" xfId="0" applyNumberFormat="1" applyFont="1" applyFill="1" applyBorder="1" applyAlignment="1">
      <alignment horizontal="center" vertical="center"/>
    </xf>
    <xf numFmtId="1" fontId="0" fillId="24" borderId="23"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49" fontId="33" fillId="24" borderId="20" xfId="0" applyNumberFormat="1" applyFont="1" applyFill="1" applyBorder="1" applyAlignment="1">
      <alignment horizontal="center" vertical="center"/>
    </xf>
    <xf numFmtId="49" fontId="33" fillId="24" borderId="33" xfId="0" applyNumberFormat="1" applyFont="1" applyFill="1" applyBorder="1" applyAlignment="1">
      <alignment horizontal="center" vertical="center"/>
    </xf>
    <xf numFmtId="1" fontId="0" fillId="0" borderId="52" xfId="0" applyNumberForma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56"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35" xfId="0" applyNumberFormat="1" applyFill="1" applyBorder="1" applyAlignment="1">
      <alignment horizontal="center" vertical="center"/>
    </xf>
    <xf numFmtId="1" fontId="0" fillId="0" borderId="30" xfId="0" applyNumberFormat="1" applyFill="1" applyBorder="1" applyAlignment="1">
      <alignment horizontal="center" vertical="center"/>
    </xf>
    <xf numFmtId="49" fontId="33" fillId="24" borderId="30" xfId="0" applyNumberFormat="1" applyFont="1" applyFill="1" applyBorder="1" applyAlignment="1">
      <alignment horizontal="center" vertical="center" wrapText="1"/>
    </xf>
    <xf numFmtId="49" fontId="33" fillId="24" borderId="30" xfId="0" applyNumberFormat="1" applyFont="1" applyFill="1" applyBorder="1" applyAlignment="1">
      <alignment horizontal="center" vertical="center"/>
    </xf>
    <xf numFmtId="49" fontId="33" fillId="24" borderId="20" xfId="0" applyNumberFormat="1" applyFont="1" applyFill="1" applyBorder="1" applyAlignment="1">
      <alignment vertical="center"/>
    </xf>
    <xf numFmtId="49" fontId="33" fillId="24" borderId="35" xfId="0" applyNumberFormat="1" applyFont="1" applyFill="1" applyBorder="1" applyAlignment="1">
      <alignment horizontal="center" vertical="center"/>
    </xf>
    <xf numFmtId="49" fontId="33" fillId="24" borderId="32" xfId="0" applyNumberFormat="1" applyFont="1" applyFill="1" applyBorder="1" applyAlignment="1">
      <alignment horizontal="center" vertical="center"/>
    </xf>
    <xf numFmtId="49" fontId="33" fillId="24" borderId="35" xfId="0" applyNumberFormat="1" applyFont="1" applyFill="1" applyBorder="1" applyAlignment="1">
      <alignment vertical="center"/>
    </xf>
    <xf numFmtId="0" fontId="33" fillId="0" borderId="30" xfId="0" applyFont="1" applyFill="1" applyBorder="1" applyAlignment="1">
      <alignment vertical="center" wrapText="1"/>
    </xf>
    <xf numFmtId="1" fontId="0" fillId="24" borderId="43"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33" fillId="24" borderId="57" xfId="0" applyFont="1" applyFill="1" applyBorder="1" applyAlignment="1">
      <alignment/>
    </xf>
    <xf numFmtId="49" fontId="33" fillId="24" borderId="28" xfId="0" applyNumberFormat="1" applyFont="1" applyFill="1" applyBorder="1" applyAlignment="1">
      <alignment horizontal="center"/>
    </xf>
    <xf numFmtId="0" fontId="33" fillId="24" borderId="28" xfId="0" applyFont="1" applyFill="1" applyBorder="1" applyAlignment="1">
      <alignment vertical="center" wrapText="1"/>
    </xf>
    <xf numFmtId="49" fontId="0" fillId="0" borderId="41" xfId="0" applyNumberFormat="1" applyFill="1" applyBorder="1" applyAlignment="1">
      <alignment horizontal="center" vertical="center"/>
    </xf>
    <xf numFmtId="49" fontId="25" fillId="0" borderId="41" xfId="0" applyNumberFormat="1" applyFont="1" applyFill="1" applyBorder="1" applyAlignment="1">
      <alignment horizontal="center" vertical="center"/>
    </xf>
    <xf numFmtId="49" fontId="0" fillId="0" borderId="41" xfId="0" applyNumberFormat="1" applyFill="1" applyBorder="1" applyAlignment="1">
      <alignment vertical="center"/>
    </xf>
    <xf numFmtId="49" fontId="25" fillId="0" borderId="39" xfId="0" applyNumberFormat="1" applyFont="1" applyFill="1" applyBorder="1" applyAlignment="1">
      <alignment horizontal="center" vertical="center"/>
    </xf>
    <xf numFmtId="49" fontId="29" fillId="0" borderId="41" xfId="0" applyNumberFormat="1" applyFont="1" applyFill="1" applyBorder="1" applyAlignment="1">
      <alignment horizontal="center" vertical="center"/>
    </xf>
    <xf numFmtId="49" fontId="25" fillId="0" borderId="58" xfId="0" applyNumberFormat="1" applyFont="1" applyFill="1" applyBorder="1" applyAlignment="1">
      <alignment horizontal="center" vertical="center"/>
    </xf>
    <xf numFmtId="0" fontId="25" fillId="0" borderId="41" xfId="0" applyFont="1" applyFill="1" applyBorder="1" applyAlignment="1">
      <alignment horizontal="center" vertical="center"/>
    </xf>
    <xf numFmtId="49" fontId="29" fillId="0" borderId="58" xfId="0" applyNumberFormat="1" applyFont="1" applyFill="1" applyBorder="1" applyAlignment="1">
      <alignment horizontal="center" vertical="center"/>
    </xf>
    <xf numFmtId="49" fontId="0" fillId="0" borderId="58" xfId="0" applyNumberFormat="1" applyFill="1" applyBorder="1" applyAlignment="1">
      <alignment vertical="center"/>
    </xf>
    <xf numFmtId="49" fontId="0" fillId="0" borderId="20" xfId="0" applyNumberFormat="1" applyFont="1" applyFill="1"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33" xfId="0" applyNumberFormat="1" applyFont="1"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xf>
    <xf numFmtId="1" fontId="0" fillId="0" borderId="53" xfId="0" applyNumberFormat="1" applyFill="1" applyBorder="1" applyAlignment="1">
      <alignment horizontal="center" vertical="center"/>
    </xf>
    <xf numFmtId="0" fontId="0" fillId="0" borderId="40" xfId="0"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0" fillId="0" borderId="13" xfId="0" applyFont="1" applyFill="1" applyBorder="1" applyAlignment="1">
      <alignment horizontal="center"/>
    </xf>
    <xf numFmtId="49" fontId="0" fillId="0" borderId="14" xfId="0" applyNumberFormat="1" applyFont="1" applyFill="1" applyBorder="1" applyAlignment="1">
      <alignment/>
    </xf>
    <xf numFmtId="0" fontId="24" fillId="0" borderId="59" xfId="0" applyFont="1" applyFill="1" applyBorder="1" applyAlignment="1">
      <alignment vertical="center" wrapText="1"/>
    </xf>
    <xf numFmtId="1" fontId="0" fillId="0" borderId="25"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wrapText="1"/>
    </xf>
    <xf numFmtId="49" fontId="0" fillId="0" borderId="59" xfId="0" applyNumberFormat="1" applyFill="1" applyBorder="1" applyAlignment="1">
      <alignment vertical="center"/>
    </xf>
    <xf numFmtId="0" fontId="27" fillId="0" borderId="59" xfId="0" applyFont="1" applyFill="1" applyBorder="1" applyAlignment="1">
      <alignment vertical="center" wrapText="1"/>
    </xf>
    <xf numFmtId="49" fontId="0" fillId="0" borderId="20" xfId="0" applyNumberFormat="1" applyFont="1" applyFill="1" applyBorder="1" applyAlignment="1">
      <alignment horizontal="center" vertical="center"/>
    </xf>
    <xf numFmtId="49" fontId="0" fillId="0" borderId="60" xfId="0" applyNumberFormat="1" applyFill="1" applyBorder="1" applyAlignment="1">
      <alignment horizontal="center" vertical="center"/>
    </xf>
    <xf numFmtId="49" fontId="0" fillId="0" borderId="20" xfId="0" applyNumberFormat="1" applyFont="1" applyFill="1" applyBorder="1" applyAlignment="1">
      <alignment horizontal="center" vertical="center" wrapText="1"/>
    </xf>
    <xf numFmtId="0" fontId="0" fillId="0" borderId="41" xfId="0" applyFill="1" applyBorder="1" applyAlignment="1">
      <alignment vertical="center" wrapText="1"/>
    </xf>
    <xf numFmtId="49" fontId="0" fillId="0" borderId="39" xfId="0" applyNumberFormat="1" applyFill="1" applyBorder="1" applyAlignment="1">
      <alignment horizontal="center" vertical="center"/>
    </xf>
    <xf numFmtId="49" fontId="26" fillId="0" borderId="20" xfId="0" applyNumberFormat="1" applyFont="1" applyFill="1" applyBorder="1" applyAlignment="1">
      <alignment horizontal="center" vertical="center"/>
    </xf>
    <xf numFmtId="0" fontId="26" fillId="0" borderId="20" xfId="0" applyFont="1" applyFill="1" applyBorder="1" applyAlignment="1">
      <alignment vertical="center" wrapText="1"/>
    </xf>
    <xf numFmtId="1" fontId="0" fillId="0" borderId="19" xfId="0" applyNumberFormat="1" applyFill="1" applyBorder="1" applyAlignment="1">
      <alignment horizontal="center" vertical="center" wrapText="1"/>
    </xf>
    <xf numFmtId="1" fontId="0" fillId="0" borderId="21" xfId="0" applyNumberFormat="1" applyFill="1" applyBorder="1" applyAlignment="1">
      <alignment horizontal="center" vertical="center" wrapText="1"/>
    </xf>
    <xf numFmtId="49" fontId="0" fillId="0" borderId="41" xfId="0" applyNumberFormat="1" applyFont="1" applyFill="1" applyBorder="1" applyAlignment="1">
      <alignment horizontal="center" vertical="center"/>
    </xf>
    <xf numFmtId="0" fontId="0" fillId="0" borderId="20" xfId="0" applyFill="1" applyBorder="1" applyAlignment="1">
      <alignment horizontal="center"/>
    </xf>
    <xf numFmtId="49" fontId="0" fillId="0" borderId="41" xfId="0" applyNumberFormat="1" applyFill="1" applyBorder="1" applyAlignment="1">
      <alignment/>
    </xf>
    <xf numFmtId="49" fontId="25" fillId="0" borderId="41" xfId="0" applyNumberFormat="1" applyFont="1" applyFill="1" applyBorder="1" applyAlignment="1">
      <alignment/>
    </xf>
    <xf numFmtId="0" fontId="0" fillId="0" borderId="41" xfId="0" applyFont="1" applyFill="1" applyBorder="1" applyAlignment="1">
      <alignment vertical="center" wrapText="1"/>
    </xf>
    <xf numFmtId="0" fontId="29" fillId="0" borderId="41" xfId="53" applyFont="1" applyFill="1" applyBorder="1" applyAlignment="1">
      <alignment vertical="center" wrapText="1"/>
      <protection/>
    </xf>
    <xf numFmtId="0" fontId="29" fillId="0" borderId="58" xfId="0" applyFont="1" applyFill="1" applyBorder="1" applyAlignment="1">
      <alignment vertical="center" wrapText="1"/>
    </xf>
    <xf numFmtId="49" fontId="0" fillId="0" borderId="56" xfId="0" applyNumberFormat="1" applyFont="1" applyFill="1" applyBorder="1" applyAlignment="1">
      <alignment horizontal="center" vertical="center" wrapText="1"/>
    </xf>
    <xf numFmtId="0" fontId="0" fillId="0" borderId="60" xfId="0" applyNumberFormat="1" applyFill="1" applyBorder="1" applyAlignment="1">
      <alignment vertical="center" wrapText="1"/>
    </xf>
    <xf numFmtId="49" fontId="0" fillId="0" borderId="32" xfId="0" applyNumberFormat="1" applyFont="1" applyFill="1" applyBorder="1" applyAlignment="1">
      <alignment horizontal="center" vertical="center" wrapText="1"/>
    </xf>
    <xf numFmtId="0" fontId="0" fillId="0" borderId="59" xfId="0" applyNumberFormat="1" applyFill="1" applyBorder="1" applyAlignment="1">
      <alignment vertical="center" wrapText="1"/>
    </xf>
    <xf numFmtId="0" fontId="29" fillId="0" borderId="41" xfId="0" applyNumberFormat="1" applyFont="1" applyFill="1" applyBorder="1" applyAlignment="1">
      <alignment vertical="center" wrapText="1"/>
    </xf>
    <xf numFmtId="49" fontId="0" fillId="0" borderId="32"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0" fontId="29" fillId="0" borderId="59" xfId="0" applyFont="1" applyFill="1" applyBorder="1" applyAlignment="1">
      <alignment vertical="center" wrapText="1"/>
    </xf>
    <xf numFmtId="0" fontId="26" fillId="0" borderId="18" xfId="0" applyFont="1" applyFill="1" applyBorder="1" applyAlignment="1">
      <alignment vertical="center" wrapText="1"/>
    </xf>
    <xf numFmtId="0" fontId="0" fillId="0" borderId="28" xfId="0" applyFill="1" applyBorder="1" applyAlignment="1">
      <alignment/>
    </xf>
    <xf numFmtId="49" fontId="0" fillId="0" borderId="61" xfId="0" applyNumberFormat="1" applyFill="1" applyBorder="1" applyAlignment="1">
      <alignment horizontal="center"/>
    </xf>
    <xf numFmtId="0" fontId="0" fillId="0" borderId="61" xfId="0" applyFill="1" applyBorder="1" applyAlignment="1">
      <alignment vertical="center" wrapText="1"/>
    </xf>
    <xf numFmtId="1" fontId="0" fillId="0" borderId="61"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28" xfId="0" applyNumberFormat="1" applyFont="1" applyFill="1" applyBorder="1" applyAlignment="1">
      <alignment horizontal="center" vertical="center"/>
    </xf>
    <xf numFmtId="0" fontId="0" fillId="25" borderId="0" xfId="0" applyFill="1" applyAlignment="1">
      <alignment/>
    </xf>
    <xf numFmtId="49" fontId="26" fillId="0" borderId="41" xfId="0" applyNumberFormat="1" applyFont="1" applyFill="1" applyBorder="1" applyAlignment="1">
      <alignment horizontal="center" vertical="center"/>
    </xf>
    <xf numFmtId="49" fontId="33" fillId="24" borderId="55" xfId="0" applyNumberFormat="1" applyFont="1" applyFill="1" applyBorder="1" applyAlignment="1">
      <alignment horizontal="center" vertical="center" wrapText="1"/>
    </xf>
    <xf numFmtId="49" fontId="33" fillId="24" borderId="38" xfId="0" applyNumberFormat="1" applyFont="1" applyFill="1" applyBorder="1" applyAlignment="1">
      <alignment horizontal="center" vertical="center"/>
    </xf>
    <xf numFmtId="1" fontId="0" fillId="24" borderId="0"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0" fontId="0" fillId="24" borderId="38" xfId="0" applyFill="1" applyBorder="1" applyAlignment="1">
      <alignment/>
    </xf>
    <xf numFmtId="49" fontId="33" fillId="0" borderId="30" xfId="0" applyNumberFormat="1" applyFont="1" applyFill="1" applyBorder="1" applyAlignment="1">
      <alignment horizontal="center" vertical="center"/>
    </xf>
    <xf numFmtId="0" fontId="0" fillId="24" borderId="13" xfId="0" applyFill="1" applyBorder="1" applyAlignment="1">
      <alignment horizontal="center" wrapText="1"/>
    </xf>
    <xf numFmtId="0" fontId="0" fillId="24" borderId="38" xfId="0" applyFill="1" applyBorder="1" applyAlignment="1">
      <alignment wrapText="1"/>
    </xf>
    <xf numFmtId="0" fontId="33" fillId="0" borderId="33" xfId="0" applyFont="1" applyFill="1" applyBorder="1" applyAlignment="1">
      <alignment vertical="center" wrapText="1"/>
    </xf>
    <xf numFmtId="1" fontId="0" fillId="24" borderId="10" xfId="0" applyNumberFormat="1" applyFill="1" applyBorder="1" applyAlignment="1">
      <alignment horizontal="center" vertical="center" wrapText="1"/>
    </xf>
    <xf numFmtId="1" fontId="0" fillId="24" borderId="53" xfId="0" applyNumberFormat="1" applyFill="1" applyBorder="1" applyAlignment="1">
      <alignment horizontal="center" vertical="center" wrapText="1"/>
    </xf>
    <xf numFmtId="1" fontId="0" fillId="24" borderId="30" xfId="0" applyNumberFormat="1" applyFill="1" applyBorder="1" applyAlignment="1">
      <alignment horizontal="center" vertical="center" wrapText="1"/>
    </xf>
    <xf numFmtId="49" fontId="34" fillId="24" borderId="28" xfId="0" applyNumberFormat="1" applyFont="1" applyFill="1" applyBorder="1" applyAlignment="1">
      <alignment horizontal="center" vertical="center"/>
    </xf>
    <xf numFmtId="0" fontId="34" fillId="24" borderId="28" xfId="0" applyFont="1" applyFill="1" applyBorder="1" applyAlignment="1">
      <alignment vertical="center" wrapText="1"/>
    </xf>
    <xf numFmtId="1" fontId="0" fillId="24" borderId="62" xfId="0" applyNumberFormat="1" applyFill="1" applyBorder="1" applyAlignment="1">
      <alignment horizontal="center" vertical="center"/>
    </xf>
    <xf numFmtId="1" fontId="0" fillId="24" borderId="42" xfId="0" applyNumberFormat="1" applyFill="1" applyBorder="1" applyAlignment="1">
      <alignment horizontal="center" vertical="center" wrapText="1"/>
    </xf>
    <xf numFmtId="1" fontId="0" fillId="24" borderId="52" xfId="0" applyNumberFormat="1" applyFill="1" applyBorder="1" applyAlignment="1">
      <alignment horizontal="center" vertical="center" wrapText="1"/>
    </xf>
    <xf numFmtId="1" fontId="0" fillId="24" borderId="62" xfId="0" applyNumberFormat="1" applyFill="1" applyBorder="1" applyAlignment="1">
      <alignment horizontal="center" vertical="center" wrapText="1"/>
    </xf>
    <xf numFmtId="1" fontId="0" fillId="24" borderId="63" xfId="0" applyNumberFormat="1" applyFill="1" applyBorder="1" applyAlignment="1">
      <alignment horizontal="center" vertical="center" wrapText="1"/>
    </xf>
    <xf numFmtId="1" fontId="0" fillId="24" borderId="64" xfId="0" applyNumberFormat="1" applyFill="1" applyBorder="1" applyAlignment="1">
      <alignment horizontal="center" vertical="center" wrapText="1"/>
    </xf>
    <xf numFmtId="1" fontId="0" fillId="24" borderId="28" xfId="0" applyNumberFormat="1" applyFill="1" applyBorder="1" applyAlignment="1">
      <alignment horizontal="center" vertical="center" wrapText="1"/>
    </xf>
    <xf numFmtId="1" fontId="0" fillId="24" borderId="65"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49" fontId="34" fillId="0" borderId="28" xfId="0" applyNumberFormat="1" applyFont="1" applyFill="1" applyBorder="1" applyAlignment="1">
      <alignment horizontal="center" vertical="center"/>
    </xf>
    <xf numFmtId="0" fontId="34" fillId="0" borderId="28" xfId="0" applyFont="1" applyFill="1" applyBorder="1" applyAlignment="1">
      <alignment vertical="center" wrapText="1"/>
    </xf>
    <xf numFmtId="49" fontId="33" fillId="0" borderId="38" xfId="0" applyNumberFormat="1" applyFont="1" applyFill="1" applyBorder="1" applyAlignment="1">
      <alignment horizontal="center" vertical="center"/>
    </xf>
    <xf numFmtId="1" fontId="0" fillId="24" borderId="62" xfId="0" applyNumberFormat="1" applyFont="1" applyFill="1" applyBorder="1" applyAlignment="1">
      <alignment horizontal="center" vertical="center"/>
    </xf>
    <xf numFmtId="1" fontId="0" fillId="24" borderId="63" xfId="0" applyNumberFormat="1" applyFont="1" applyFill="1" applyBorder="1" applyAlignment="1">
      <alignment horizontal="center" vertical="center"/>
    </xf>
    <xf numFmtId="1" fontId="0" fillId="24" borderId="64"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29" fillId="24" borderId="62" xfId="0" applyNumberFormat="1" applyFont="1" applyFill="1" applyBorder="1" applyAlignment="1">
      <alignment horizontal="center" vertical="center"/>
    </xf>
    <xf numFmtId="1" fontId="29" fillId="24" borderId="37" xfId="0" applyNumberFormat="1" applyFont="1" applyFill="1" applyBorder="1" applyAlignment="1">
      <alignment horizontal="center" vertical="center"/>
    </xf>
    <xf numFmtId="1" fontId="29" fillId="24" borderId="28" xfId="0" applyNumberFormat="1" applyFont="1" applyFill="1" applyBorder="1" applyAlignment="1">
      <alignment horizontal="center" vertical="center"/>
    </xf>
    <xf numFmtId="1" fontId="0" fillId="24" borderId="65"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49" fontId="34" fillId="24" borderId="28" xfId="0" applyNumberFormat="1" applyFont="1" applyFill="1" applyBorder="1" applyAlignment="1">
      <alignment/>
    </xf>
    <xf numFmtId="49" fontId="33" fillId="0" borderId="35" xfId="0" applyNumberFormat="1" applyFont="1" applyFill="1" applyBorder="1" applyAlignment="1">
      <alignment horizontal="center" vertical="center"/>
    </xf>
    <xf numFmtId="49" fontId="34" fillId="24" borderId="57" xfId="0" applyNumberFormat="1" applyFont="1" applyFill="1" applyBorder="1" applyAlignment="1">
      <alignment horizontal="center" vertical="center"/>
    </xf>
    <xf numFmtId="49" fontId="33" fillId="24" borderId="66" xfId="0" applyNumberFormat="1" applyFont="1" applyFill="1" applyBorder="1" applyAlignment="1">
      <alignment horizontal="center" vertical="center"/>
    </xf>
    <xf numFmtId="0" fontId="33" fillId="24" borderId="18" xfId="0" applyFont="1" applyFill="1" applyBorder="1" applyAlignment="1">
      <alignment horizontal="center" vertical="center" wrapText="1"/>
    </xf>
    <xf numFmtId="0" fontId="0" fillId="24" borderId="66" xfId="0" applyFill="1" applyBorder="1" applyAlignment="1">
      <alignment/>
    </xf>
    <xf numFmtId="49" fontId="34" fillId="0" borderId="57" xfId="0" applyNumberFormat="1" applyFont="1" applyFill="1" applyBorder="1" applyAlignment="1">
      <alignment horizontal="center" vertical="center" wrapText="1"/>
    </xf>
    <xf numFmtId="0" fontId="0" fillId="0" borderId="19" xfId="0" applyFill="1" applyBorder="1" applyAlignment="1">
      <alignment vertical="center" wrapText="1"/>
    </xf>
    <xf numFmtId="0" fontId="0" fillId="0" borderId="29" xfId="0" applyFill="1" applyBorder="1" applyAlignment="1">
      <alignment/>
    </xf>
    <xf numFmtId="49" fontId="34" fillId="24" borderId="55" xfId="0" applyNumberFormat="1" applyFont="1" applyFill="1" applyBorder="1" applyAlignment="1">
      <alignment horizontal="center" vertical="center"/>
    </xf>
    <xf numFmtId="49" fontId="34" fillId="24" borderId="30" xfId="0" applyNumberFormat="1" applyFont="1" applyFill="1" applyBorder="1" applyAlignment="1">
      <alignment horizontal="center" vertical="center"/>
    </xf>
    <xf numFmtId="0" fontId="34" fillId="24" borderId="30" xfId="0" applyFont="1" applyFill="1" applyBorder="1" applyAlignment="1">
      <alignment vertical="center" wrapText="1"/>
    </xf>
    <xf numFmtId="49" fontId="0" fillId="0" borderId="20" xfId="0" applyNumberFormat="1" applyFont="1" applyFill="1" applyBorder="1" applyAlignment="1">
      <alignment horizontal="center" vertical="center"/>
    </xf>
    <xf numFmtId="0" fontId="0" fillId="0" borderId="39" xfId="0" applyFont="1" applyFill="1" applyBorder="1" applyAlignment="1">
      <alignment vertical="center" wrapText="1"/>
    </xf>
    <xf numFmtId="49" fontId="0" fillId="0" borderId="58" xfId="0" applyNumberFormat="1" applyFill="1" applyBorder="1" applyAlignment="1">
      <alignment horizontal="center" vertical="center"/>
    </xf>
    <xf numFmtId="0" fontId="0" fillId="0" borderId="36" xfId="0" applyFill="1" applyBorder="1" applyAlignment="1">
      <alignment vertical="center" wrapText="1"/>
    </xf>
    <xf numFmtId="0" fontId="14" fillId="0" borderId="41" xfId="0" applyNumberFormat="1" applyFont="1" applyFill="1" applyBorder="1" applyAlignment="1">
      <alignment vertical="center" wrapText="1"/>
    </xf>
    <xf numFmtId="49" fontId="0" fillId="0" borderId="35" xfId="0" applyNumberFormat="1" applyFont="1" applyFill="1" applyBorder="1" applyAlignment="1">
      <alignment horizontal="center" vertical="center"/>
    </xf>
    <xf numFmtId="49" fontId="0" fillId="0" borderId="67" xfId="0" applyNumberFormat="1" applyFill="1" applyBorder="1" applyAlignment="1">
      <alignment horizontal="center" vertical="center"/>
    </xf>
    <xf numFmtId="0" fontId="0" fillId="0" borderId="67" xfId="0" applyNumberFormat="1" applyFont="1" applyFill="1" applyBorder="1" applyAlignment="1">
      <alignment vertical="center" wrapText="1"/>
    </xf>
    <xf numFmtId="49" fontId="0" fillId="0" borderId="41" xfId="0" applyNumberFormat="1" applyFont="1" applyFill="1" applyBorder="1" applyAlignment="1">
      <alignment horizontal="center" vertical="center" wrapText="1"/>
    </xf>
    <xf numFmtId="1" fontId="0" fillId="0" borderId="68"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1" fontId="0" fillId="0" borderId="40"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49" fontId="0" fillId="0" borderId="39"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52" xfId="0" applyNumberFormat="1" applyFont="1" applyFill="1" applyBorder="1" applyAlignment="1">
      <alignment horizontal="center" vertical="center" wrapText="1"/>
    </xf>
    <xf numFmtId="1" fontId="0" fillId="0" borderId="42" xfId="0" applyNumberFormat="1" applyFont="1" applyFill="1" applyBorder="1" applyAlignment="1">
      <alignment horizontal="center" vertical="center" wrapText="1"/>
    </xf>
    <xf numFmtId="0" fontId="0" fillId="0" borderId="41" xfId="0" applyFont="1" applyFill="1" applyBorder="1" applyAlignment="1">
      <alignment vertical="center" wrapText="1"/>
    </xf>
    <xf numFmtId="49" fontId="0" fillId="0" borderId="33" xfId="0" applyNumberFormat="1" applyFill="1" applyBorder="1" applyAlignment="1">
      <alignment horizontal="center" vertical="center"/>
    </xf>
    <xf numFmtId="49" fontId="0" fillId="0" borderId="56" xfId="0" applyNumberFormat="1" applyFont="1" applyFill="1" applyBorder="1" applyAlignment="1">
      <alignment horizontal="center" vertical="center"/>
    </xf>
    <xf numFmtId="0" fontId="0" fillId="0" borderId="60" xfId="0" applyFill="1" applyBorder="1" applyAlignment="1">
      <alignment vertical="center" wrapText="1"/>
    </xf>
    <xf numFmtId="1" fontId="0" fillId="0" borderId="27"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24" borderId="61" xfId="0" applyNumberFormat="1" applyFill="1" applyBorder="1" applyAlignment="1">
      <alignment horizontal="center" vertical="center"/>
    </xf>
    <xf numFmtId="49" fontId="33" fillId="24" borderId="18" xfId="0" applyNumberFormat="1" applyFont="1" applyFill="1" applyBorder="1" applyAlignment="1">
      <alignment horizontal="center" vertical="center" wrapText="1"/>
    </xf>
    <xf numFmtId="0" fontId="0" fillId="24" borderId="13" xfId="0" applyFill="1" applyBorder="1" applyAlignment="1">
      <alignment vertical="center" wrapText="1"/>
    </xf>
    <xf numFmtId="0" fontId="0" fillId="24" borderId="57" xfId="0" applyFill="1" applyBorder="1" applyAlignment="1">
      <alignment wrapText="1"/>
    </xf>
    <xf numFmtId="0" fontId="0" fillId="24" borderId="61" xfId="0" applyFill="1" applyBorder="1" applyAlignment="1">
      <alignment wrapText="1"/>
    </xf>
    <xf numFmtId="49" fontId="33" fillId="24" borderId="66" xfId="0" applyNumberFormat="1" applyFont="1" applyFill="1" applyBorder="1" applyAlignment="1">
      <alignment horizontal="center" vertical="center" wrapText="1"/>
    </xf>
    <xf numFmtId="0" fontId="33" fillId="24" borderId="55" xfId="0" applyFont="1" applyFill="1" applyBorder="1" applyAlignment="1">
      <alignment horizontal="center" vertical="center" wrapText="1"/>
    </xf>
    <xf numFmtId="49" fontId="33" fillId="24" borderId="26" xfId="0" applyNumberFormat="1" applyFont="1" applyFill="1" applyBorder="1" applyAlignment="1">
      <alignment horizontal="center" vertical="center" wrapText="1"/>
    </xf>
    <xf numFmtId="0" fontId="0" fillId="24" borderId="38" xfId="0" applyFill="1" applyBorder="1" applyAlignment="1">
      <alignment vertical="center" wrapText="1"/>
    </xf>
    <xf numFmtId="0" fontId="0" fillId="24" borderId="56" xfId="0" applyFill="1" applyBorder="1" applyAlignment="1">
      <alignment vertical="center" wrapText="1"/>
    </xf>
    <xf numFmtId="0" fontId="0" fillId="24" borderId="0" xfId="0" applyFill="1" applyBorder="1" applyAlignment="1">
      <alignment horizontal="center" vertical="center" wrapText="1"/>
    </xf>
    <xf numFmtId="0" fontId="0" fillId="24" borderId="69" xfId="0" applyFill="1" applyBorder="1" applyAlignment="1">
      <alignment horizontal="center" vertical="center" wrapText="1"/>
    </xf>
    <xf numFmtId="0" fontId="24" fillId="24" borderId="57" xfId="0" applyFont="1" applyFill="1" applyBorder="1" applyAlignment="1">
      <alignment wrapText="1"/>
    </xf>
    <xf numFmtId="0" fontId="0" fillId="0" borderId="37" xfId="0" applyBorder="1" applyAlignment="1">
      <alignment wrapText="1"/>
    </xf>
    <xf numFmtId="0" fontId="0" fillId="24" borderId="14" xfId="0" applyFill="1" applyBorder="1" applyAlignment="1">
      <alignment horizontal="center" vertical="center" wrapText="1"/>
    </xf>
    <xf numFmtId="0" fontId="0" fillId="24" borderId="51" xfId="0" applyFill="1" applyBorder="1" applyAlignment="1">
      <alignment wrapText="1"/>
    </xf>
    <xf numFmtId="0" fontId="0" fillId="24" borderId="60" xfId="0" applyFill="1" applyBorder="1" applyAlignment="1">
      <alignment wrapText="1"/>
    </xf>
    <xf numFmtId="0" fontId="23" fillId="24" borderId="0" xfId="0" applyFont="1" applyFill="1" applyAlignment="1">
      <alignment horizontal="center" wrapText="1"/>
    </xf>
    <xf numFmtId="0" fontId="0" fillId="24" borderId="38" xfId="0" applyFill="1" applyBorder="1" applyAlignment="1">
      <alignment horizontal="center" vertical="center" wrapText="1"/>
    </xf>
    <xf numFmtId="0" fontId="0" fillId="24" borderId="56" xfId="0" applyFill="1" applyBorder="1" applyAlignment="1">
      <alignment wrapText="1"/>
    </xf>
    <xf numFmtId="49" fontId="33" fillId="24" borderId="55" xfId="0" applyNumberFormat="1" applyFont="1" applyFill="1" applyBorder="1" applyAlignment="1">
      <alignment horizontal="center" vertical="center" wrapText="1"/>
    </xf>
    <xf numFmtId="0" fontId="0" fillId="24" borderId="55"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51" xfId="0" applyFill="1" applyBorder="1" applyAlignment="1">
      <alignment horizontal="center" vertical="center" wrapText="1"/>
    </xf>
    <xf numFmtId="0" fontId="0" fillId="24" borderId="60" xfId="0" applyFill="1" applyBorder="1" applyAlignment="1">
      <alignment horizontal="center" vertical="center" wrapText="1"/>
    </xf>
    <xf numFmtId="0" fontId="0" fillId="24" borderId="57" xfId="0" applyFill="1" applyBorder="1" applyAlignment="1">
      <alignment horizontal="center" wrapText="1"/>
    </xf>
    <xf numFmtId="0" fontId="0" fillId="24" borderId="37" xfId="0" applyFill="1" applyBorder="1" applyAlignment="1">
      <alignment horizontal="center" wrapText="1"/>
    </xf>
    <xf numFmtId="0" fontId="0" fillId="24" borderId="61" xfId="0" applyFill="1" applyBorder="1" applyAlignment="1">
      <alignment horizontal="center" wrapText="1"/>
    </xf>
    <xf numFmtId="0" fontId="24" fillId="24" borderId="37" xfId="0" applyFont="1" applyFill="1" applyBorder="1" applyAlignment="1">
      <alignment horizontal="center" wrapText="1"/>
    </xf>
    <xf numFmtId="0" fontId="24" fillId="24" borderId="37" xfId="0" applyFont="1" applyFill="1" applyBorder="1" applyAlignment="1">
      <alignment wrapText="1"/>
    </xf>
    <xf numFmtId="0" fontId="24" fillId="24" borderId="61" xfId="0" applyFont="1" applyFill="1" applyBorder="1" applyAlignment="1">
      <alignment wrapText="1"/>
    </xf>
    <xf numFmtId="0" fontId="0" fillId="24" borderId="0" xfId="0" applyFont="1" applyFill="1" applyBorder="1" applyAlignment="1">
      <alignment horizontal="center" vertical="center" wrapText="1"/>
    </xf>
    <xf numFmtId="0" fontId="0" fillId="24" borderId="69" xfId="0" applyFont="1" applyFill="1" applyBorder="1" applyAlignment="1">
      <alignment wrapText="1"/>
    </xf>
    <xf numFmtId="0" fontId="0" fillId="24" borderId="56" xfId="0" applyFill="1" applyBorder="1" applyAlignment="1">
      <alignment horizontal="center" vertical="center" wrapText="1"/>
    </xf>
    <xf numFmtId="0" fontId="0" fillId="24" borderId="69" xfId="0" applyFill="1" applyBorder="1" applyAlignment="1">
      <alignment wrapText="1"/>
    </xf>
    <xf numFmtId="0" fontId="0" fillId="0" borderId="55" xfId="0" applyBorder="1" applyAlignment="1">
      <alignment horizontal="center" vertical="center" wrapText="1"/>
    </xf>
    <xf numFmtId="49" fontId="34" fillId="0" borderId="66" xfId="0" applyNumberFormat="1" applyFont="1" applyFill="1" applyBorder="1" applyAlignment="1">
      <alignment horizontal="center" vertical="center" wrapText="1"/>
    </xf>
    <xf numFmtId="0" fontId="0" fillId="0" borderId="66" xfId="0" applyBorder="1" applyAlignment="1">
      <alignment horizontal="center" vertical="center"/>
    </xf>
    <xf numFmtId="0" fontId="0" fillId="0" borderId="70" xfId="0" applyBorder="1" applyAlignment="1">
      <alignment horizontal="center" vertical="center" wrapText="1"/>
    </xf>
    <xf numFmtId="49" fontId="33" fillId="0" borderId="26" xfId="0" applyNumberFormat="1" applyFont="1" applyFill="1" applyBorder="1" applyAlignment="1">
      <alignment horizontal="center" vertical="center" wrapText="1"/>
    </xf>
    <xf numFmtId="49" fontId="33" fillId="0" borderId="55" xfId="0" applyNumberFormat="1" applyFont="1" applyFill="1" applyBorder="1" applyAlignment="1">
      <alignment horizontal="center" vertical="center" wrapText="1"/>
    </xf>
    <xf numFmtId="49" fontId="0" fillId="0" borderId="33"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0" fontId="0" fillId="0" borderId="30" xfId="0" applyFill="1" applyBorder="1" applyAlignment="1">
      <alignment horizontal="center" vertical="center" wrapText="1"/>
    </xf>
    <xf numFmtId="49" fontId="0" fillId="0" borderId="33" xfId="0" applyNumberFormat="1" applyFont="1" applyFill="1" applyBorder="1" applyAlignment="1">
      <alignment horizontal="center" vertical="center" wrapText="1"/>
    </xf>
    <xf numFmtId="0" fontId="24" fillId="24" borderId="57" xfId="0" applyFont="1" applyFill="1" applyBorder="1" applyAlignment="1">
      <alignment horizontal="center" wrapText="1"/>
    </xf>
    <xf numFmtId="0" fontId="0" fillId="0" borderId="37" xfId="0" applyBorder="1" applyAlignment="1">
      <alignment horizontal="center" wrapText="1"/>
    </xf>
    <xf numFmtId="0" fontId="0" fillId="24" borderId="17" xfId="0" applyFill="1" applyBorder="1" applyAlignment="1">
      <alignment horizontal="center" vertical="center" wrapText="1"/>
    </xf>
    <xf numFmtId="0" fontId="0" fillId="24" borderId="66" xfId="0" applyFill="1" applyBorder="1" applyAlignment="1">
      <alignment horizontal="center" vertical="center" wrapText="1"/>
    </xf>
    <xf numFmtId="0" fontId="0" fillId="24" borderId="14" xfId="0" applyFill="1" applyBorder="1" applyAlignment="1">
      <alignment vertical="center" wrapText="1"/>
    </xf>
    <xf numFmtId="0" fontId="0" fillId="24" borderId="51" xfId="0" applyFill="1" applyBorder="1" applyAlignment="1">
      <alignment vertical="center" wrapText="1"/>
    </xf>
    <xf numFmtId="0" fontId="0" fillId="24" borderId="60" xfId="0"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78"/>
  <sheetViews>
    <sheetView view="pageBreakPreview" zoomScale="75" zoomScaleNormal="75" zoomScaleSheetLayoutView="75" workbookViewId="0" topLeftCell="A90">
      <selection activeCell="C113" sqref="C113:D117"/>
    </sheetView>
  </sheetViews>
  <sheetFormatPr defaultColWidth="9.00390625" defaultRowHeight="12.75"/>
  <cols>
    <col min="1" max="1" width="17.375" style="4" customWidth="1"/>
    <col min="2" max="2" width="15.625" style="4" customWidth="1"/>
    <col min="3" max="3" width="80.625" style="44" customWidth="1"/>
    <col min="4" max="4" width="16.75390625" style="4" customWidth="1"/>
    <col min="5" max="5" width="15.375" style="4" customWidth="1"/>
    <col min="6" max="6" width="12.25390625" style="4" customWidth="1"/>
    <col min="7" max="7" width="12.375" style="4" customWidth="1"/>
    <col min="8" max="8" width="14.125" style="4" customWidth="1"/>
    <col min="9" max="9" width="11.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160</v>
      </c>
    </row>
    <row r="2" ht="12.75">
      <c r="N2" s="4" t="s">
        <v>1</v>
      </c>
    </row>
    <row r="3" spans="1:14" ht="20.25">
      <c r="A3" s="7"/>
      <c r="N3" s="4" t="s">
        <v>2</v>
      </c>
    </row>
    <row r="4" ht="12.75"/>
    <row r="5" ht="12.75"/>
    <row r="6" spans="3:14" ht="21.75" customHeight="1">
      <c r="C6" s="309" t="s">
        <v>154</v>
      </c>
      <c r="D6" s="309"/>
      <c r="E6" s="309"/>
      <c r="F6" s="309"/>
      <c r="G6" s="309"/>
      <c r="H6" s="309"/>
      <c r="I6" s="309"/>
      <c r="J6" s="309"/>
      <c r="K6" s="309"/>
      <c r="L6" s="309"/>
      <c r="N6" s="8"/>
    </row>
    <row r="7" spans="3:14" ht="10.5" customHeight="1">
      <c r="C7" s="45"/>
      <c r="D7" s="8"/>
      <c r="E7" s="8"/>
      <c r="F7" s="8"/>
      <c r="G7" s="8"/>
      <c r="H7" s="8"/>
      <c r="I7" s="8"/>
      <c r="J7" s="8"/>
      <c r="K7" s="8"/>
      <c r="N7" s="8"/>
    </row>
    <row r="8" ht="10.5" customHeight="1" thickBot="1">
      <c r="P8" s="4" t="s">
        <v>4</v>
      </c>
    </row>
    <row r="9" spans="1:16" ht="18" customHeight="1" thickBot="1">
      <c r="A9" s="314" t="s">
        <v>5</v>
      </c>
      <c r="B9" s="306" t="s">
        <v>6</v>
      </c>
      <c r="C9" s="294" t="s">
        <v>7</v>
      </c>
      <c r="D9" s="320" t="s">
        <v>155</v>
      </c>
      <c r="E9" s="321"/>
      <c r="F9" s="321"/>
      <c r="G9" s="321"/>
      <c r="H9" s="322"/>
      <c r="I9" s="304" t="s">
        <v>161</v>
      </c>
      <c r="J9" s="305"/>
      <c r="K9" s="305"/>
      <c r="L9" s="305"/>
      <c r="M9" s="305"/>
      <c r="N9" s="305"/>
      <c r="O9" s="305"/>
      <c r="P9" s="294" t="s">
        <v>10</v>
      </c>
    </row>
    <row r="10" spans="1:16" ht="12.75" customHeight="1" thickBot="1">
      <c r="A10" s="310"/>
      <c r="B10" s="315"/>
      <c r="C10" s="300"/>
      <c r="D10" s="306" t="s">
        <v>11</v>
      </c>
      <c r="E10" s="317" t="s">
        <v>12</v>
      </c>
      <c r="F10" s="318"/>
      <c r="G10" s="319"/>
      <c r="H10" s="314" t="s">
        <v>13</v>
      </c>
      <c r="I10" s="302" t="s">
        <v>14</v>
      </c>
      <c r="J10" s="314" t="s">
        <v>15</v>
      </c>
      <c r="K10" s="295" t="s">
        <v>12</v>
      </c>
      <c r="L10" s="296"/>
      <c r="M10" s="302" t="s">
        <v>16</v>
      </c>
      <c r="N10" s="317" t="s">
        <v>17</v>
      </c>
      <c r="O10" s="318"/>
      <c r="P10" s="300"/>
    </row>
    <row r="11" spans="1:16" ht="12.75" customHeight="1">
      <c r="A11" s="310"/>
      <c r="B11" s="315"/>
      <c r="C11" s="300"/>
      <c r="D11" s="307"/>
      <c r="E11" s="302" t="s">
        <v>18</v>
      </c>
      <c r="F11" s="310" t="s">
        <v>19</v>
      </c>
      <c r="G11" s="302" t="s">
        <v>20</v>
      </c>
      <c r="H11" s="300"/>
      <c r="I11" s="302"/>
      <c r="J11" s="310"/>
      <c r="K11" s="323" t="s">
        <v>21</v>
      </c>
      <c r="L11" s="314" t="s">
        <v>20</v>
      </c>
      <c r="M11" s="302"/>
      <c r="N11" s="310" t="s">
        <v>22</v>
      </c>
      <c r="O11" s="9" t="s">
        <v>23</v>
      </c>
      <c r="P11" s="300"/>
    </row>
    <row r="12" spans="1:16" ht="148.5" customHeight="1" thickBot="1">
      <c r="A12" s="310"/>
      <c r="B12" s="316"/>
      <c r="C12" s="301"/>
      <c r="D12" s="308"/>
      <c r="E12" s="303"/>
      <c r="F12" s="311"/>
      <c r="G12" s="326"/>
      <c r="H12" s="301"/>
      <c r="I12" s="303"/>
      <c r="J12" s="325"/>
      <c r="K12" s="324"/>
      <c r="L12" s="311"/>
      <c r="M12" s="303"/>
      <c r="N12" s="311"/>
      <c r="O12" s="10" t="s">
        <v>24</v>
      </c>
      <c r="P12" s="301"/>
    </row>
    <row r="13" spans="1:16" ht="0.75" customHeight="1" hidden="1" thickBot="1">
      <c r="A13" s="11">
        <v>1</v>
      </c>
      <c r="B13" s="12">
        <v>2</v>
      </c>
      <c r="C13" s="227">
        <v>3</v>
      </c>
      <c r="D13" s="13">
        <v>4</v>
      </c>
      <c r="E13" s="11">
        <v>5</v>
      </c>
      <c r="F13" s="13">
        <v>6</v>
      </c>
      <c r="G13" s="14">
        <v>7</v>
      </c>
      <c r="H13" s="11">
        <v>8</v>
      </c>
      <c r="I13" s="15">
        <v>9</v>
      </c>
      <c r="J13" s="11">
        <v>10</v>
      </c>
      <c r="K13" s="13">
        <v>11</v>
      </c>
      <c r="L13" s="11">
        <v>12</v>
      </c>
      <c r="M13" s="13">
        <v>13</v>
      </c>
      <c r="N13" s="11">
        <v>14</v>
      </c>
      <c r="O13" s="13">
        <v>15</v>
      </c>
      <c r="P13" s="11">
        <v>16</v>
      </c>
    </row>
    <row r="14" spans="1:16" s="3" customFormat="1" ht="29.25" customHeight="1" thickBot="1">
      <c r="A14" s="259" t="s">
        <v>26</v>
      </c>
      <c r="B14" s="257"/>
      <c r="C14" s="234" t="s">
        <v>124</v>
      </c>
      <c r="D14" s="251">
        <f>D15</f>
        <v>16641905</v>
      </c>
      <c r="E14" s="251">
        <f aca="true" t="shared" si="0" ref="E14:P14">E15</f>
        <v>16641905</v>
      </c>
      <c r="F14" s="251">
        <f t="shared" si="0"/>
        <v>10464428</v>
      </c>
      <c r="G14" s="251">
        <f t="shared" si="0"/>
        <v>1294571</v>
      </c>
      <c r="H14" s="251">
        <f t="shared" si="0"/>
        <v>0</v>
      </c>
      <c r="I14" s="251">
        <f t="shared" si="0"/>
        <v>237680</v>
      </c>
      <c r="J14" s="251">
        <f t="shared" si="0"/>
        <v>0</v>
      </c>
      <c r="K14" s="251">
        <f t="shared" si="0"/>
        <v>0</v>
      </c>
      <c r="L14" s="251">
        <f t="shared" si="0"/>
        <v>0</v>
      </c>
      <c r="M14" s="251">
        <f t="shared" si="0"/>
        <v>237680</v>
      </c>
      <c r="N14" s="251">
        <f t="shared" si="0"/>
        <v>237680</v>
      </c>
      <c r="O14" s="252">
        <f t="shared" si="0"/>
        <v>237680</v>
      </c>
      <c r="P14" s="253">
        <f t="shared" si="0"/>
        <v>16879585</v>
      </c>
    </row>
    <row r="15" spans="1:16" ht="31.5" customHeight="1" thickBot="1">
      <c r="A15" s="260" t="s">
        <v>28</v>
      </c>
      <c r="B15" s="222" t="s">
        <v>29</v>
      </c>
      <c r="C15" s="69" t="s">
        <v>30</v>
      </c>
      <c r="D15" s="254">
        <f>'Додаток 3'!D18+'Додаток 3'!D33+'Додаток 3'!D41+'Додаток 3'!D96+'Додаток 3'!D128+'Додаток 3'!D134</f>
        <v>16641905</v>
      </c>
      <c r="E15" s="254">
        <f>'Додаток 3'!E18+'Додаток 3'!E33+'Додаток 3'!E41+'Додаток 3'!E96+'Додаток 3'!E128+'Додаток 3'!E134</f>
        <v>16641905</v>
      </c>
      <c r="F15" s="254">
        <f>'Додаток 3'!F18+'Додаток 3'!F33+'Додаток 3'!F41+'Додаток 3'!F96+'Додаток 3'!F128+'Додаток 3'!F134</f>
        <v>10464428</v>
      </c>
      <c r="G15" s="254">
        <f>'Додаток 3'!G18+'Додаток 3'!G33+'Додаток 3'!G41+'Додаток 3'!G96+'Додаток 3'!G128+'Додаток 3'!G134</f>
        <v>1294571</v>
      </c>
      <c r="H15" s="254">
        <f>'Додаток 3'!H18+'Додаток 3'!H33+'Додаток 3'!H41+'Додаток 3'!H96+'Додаток 3'!H128+'Додаток 3'!H134</f>
        <v>0</v>
      </c>
      <c r="I15" s="254">
        <f>'Додаток 3'!I18+'Додаток 3'!I33+'Додаток 3'!I41+'Додаток 3'!I96+'Додаток 3'!I128+'Додаток 3'!I134</f>
        <v>237680</v>
      </c>
      <c r="J15" s="254">
        <f>'Додаток 3'!J18+'Додаток 3'!J33+'Додаток 3'!J41+'Додаток 3'!J96+'Додаток 3'!J128+'Додаток 3'!J134</f>
        <v>0</v>
      </c>
      <c r="K15" s="254">
        <f>'Додаток 3'!K18+'Додаток 3'!K33+'Додаток 3'!K41+'Додаток 3'!K96+'Додаток 3'!K128+'Додаток 3'!K134</f>
        <v>0</v>
      </c>
      <c r="L15" s="254">
        <f>'Додаток 3'!L18+'Додаток 3'!L33+'Додаток 3'!L41+'Додаток 3'!L96+'Додаток 3'!L128+'Додаток 3'!L134</f>
        <v>0</v>
      </c>
      <c r="M15" s="254">
        <f>'Додаток 3'!M18+'Додаток 3'!M33+'Додаток 3'!M41+'Додаток 3'!M96+'Додаток 3'!M128+'Додаток 3'!M134</f>
        <v>237680</v>
      </c>
      <c r="N15" s="254">
        <f>'Додаток 3'!N18+'Додаток 3'!N33+'Додаток 3'!N41+'Додаток 3'!N96+'Додаток 3'!N128+'Додаток 3'!N134</f>
        <v>237680</v>
      </c>
      <c r="O15" s="255">
        <f>'Додаток 3'!O18+'Додаток 3'!O33+'Додаток 3'!O41+'Додаток 3'!O96+'Додаток 3'!O128+'Додаток 3'!O134</f>
        <v>237680</v>
      </c>
      <c r="P15" s="256">
        <f>'Додаток 3'!P18+'Додаток 3'!P33+'Додаток 3'!P41+'Додаток 3'!P96+'Додаток 3'!P128+'Додаток 3'!P134</f>
        <v>16879585</v>
      </c>
    </row>
    <row r="16" spans="1:16" ht="30.75" customHeight="1" thickBot="1">
      <c r="A16" s="259" t="s">
        <v>94</v>
      </c>
      <c r="B16" s="233"/>
      <c r="C16" s="234" t="s">
        <v>133</v>
      </c>
      <c r="D16" s="251">
        <f>D17+D19+D22+D25+D27+D29+D31+D33+D35</f>
        <v>236750544</v>
      </c>
      <c r="E16" s="251">
        <f aca="true" t="shared" si="1" ref="E16:P16">E17+E19+E22+E25+E27+E29+E31+E33+E35</f>
        <v>236750544</v>
      </c>
      <c r="F16" s="251">
        <f t="shared" si="1"/>
        <v>142888587</v>
      </c>
      <c r="G16" s="251">
        <f t="shared" si="1"/>
        <v>34350611</v>
      </c>
      <c r="H16" s="251">
        <f t="shared" si="1"/>
        <v>0</v>
      </c>
      <c r="I16" s="251">
        <f t="shared" si="1"/>
        <v>10610886</v>
      </c>
      <c r="J16" s="251">
        <f t="shared" si="1"/>
        <v>9581073</v>
      </c>
      <c r="K16" s="251">
        <f t="shared" si="1"/>
        <v>180948</v>
      </c>
      <c r="L16" s="251">
        <f t="shared" si="1"/>
        <v>0</v>
      </c>
      <c r="M16" s="251">
        <f t="shared" si="1"/>
        <v>1029813</v>
      </c>
      <c r="N16" s="251">
        <f t="shared" si="1"/>
        <v>1017813</v>
      </c>
      <c r="O16" s="252">
        <f t="shared" si="1"/>
        <v>1017813</v>
      </c>
      <c r="P16" s="253">
        <f t="shared" si="1"/>
        <v>247361430</v>
      </c>
    </row>
    <row r="17" spans="1:16" s="3" customFormat="1" ht="28.5" customHeight="1">
      <c r="A17" s="297" t="s">
        <v>99</v>
      </c>
      <c r="B17" s="149" t="s">
        <v>97</v>
      </c>
      <c r="C17" s="68" t="s">
        <v>125</v>
      </c>
      <c r="D17" s="21">
        <f>'Додаток 3'!D98</f>
        <v>85581181</v>
      </c>
      <c r="E17" s="21">
        <f>'Додаток 3'!E98</f>
        <v>85581181</v>
      </c>
      <c r="F17" s="21">
        <f>'Додаток 3'!F98</f>
        <v>48956257</v>
      </c>
      <c r="G17" s="21">
        <f>'Додаток 3'!G98</f>
        <v>14472861</v>
      </c>
      <c r="H17" s="21">
        <f>'Додаток 3'!H98</f>
        <v>0</v>
      </c>
      <c r="I17" s="21">
        <f>'Додаток 3'!I98</f>
        <v>8653936</v>
      </c>
      <c r="J17" s="21">
        <f>'Додаток 3'!J98</f>
        <v>8287636</v>
      </c>
      <c r="K17" s="21">
        <f>'Додаток 3'!K98</f>
        <v>0</v>
      </c>
      <c r="L17" s="21">
        <f>'Додаток 3'!L98</f>
        <v>0</v>
      </c>
      <c r="M17" s="21">
        <f>'Додаток 3'!M98</f>
        <v>366300</v>
      </c>
      <c r="N17" s="21">
        <f>'Додаток 3'!N98</f>
        <v>354300</v>
      </c>
      <c r="O17" s="123">
        <f>'Додаток 3'!O98</f>
        <v>354300</v>
      </c>
      <c r="P17" s="61">
        <f>'Додаток 3'!P98</f>
        <v>94235117</v>
      </c>
    </row>
    <row r="18" spans="1:17" s="3" customFormat="1" ht="25.5" customHeight="1">
      <c r="A18" s="313"/>
      <c r="B18" s="149"/>
      <c r="C18" s="18" t="s">
        <v>105</v>
      </c>
      <c r="D18" s="21">
        <f>'Додаток 3'!D99</f>
        <v>26856066</v>
      </c>
      <c r="E18" s="21">
        <f>'Додаток 3'!E99</f>
        <v>26856066</v>
      </c>
      <c r="F18" s="21">
        <f>'Додаток 3'!F99</f>
        <v>13162563</v>
      </c>
      <c r="G18" s="21">
        <f>'Додаток 3'!G99</f>
        <v>6199190</v>
      </c>
      <c r="H18" s="21">
        <f>'Додаток 3'!H99</f>
        <v>0</v>
      </c>
      <c r="I18" s="21">
        <f>'Додаток 3'!I99</f>
        <v>0</v>
      </c>
      <c r="J18" s="21">
        <f>'Додаток 3'!J99</f>
        <v>0</v>
      </c>
      <c r="K18" s="21">
        <f>'Додаток 3'!K99</f>
        <v>0</v>
      </c>
      <c r="L18" s="21">
        <f>'Додаток 3'!L99</f>
        <v>0</v>
      </c>
      <c r="M18" s="21">
        <f>'Додаток 3'!M99</f>
        <v>0</v>
      </c>
      <c r="N18" s="21">
        <f>'Додаток 3'!N99</f>
        <v>0</v>
      </c>
      <c r="O18" s="123">
        <f>'Додаток 3'!O99</f>
        <v>0</v>
      </c>
      <c r="P18" s="61">
        <f>'Додаток 3'!P99</f>
        <v>26856066</v>
      </c>
      <c r="Q18" s="5"/>
    </row>
    <row r="19" spans="1:16" ht="46.5" customHeight="1">
      <c r="A19" s="297" t="s">
        <v>101</v>
      </c>
      <c r="B19" s="150" t="s">
        <v>102</v>
      </c>
      <c r="C19" s="68" t="s">
        <v>103</v>
      </c>
      <c r="D19" s="6">
        <f>'Додаток 3'!D100</f>
        <v>136736981</v>
      </c>
      <c r="E19" s="6">
        <f>'Додаток 3'!E100</f>
        <v>136736981</v>
      </c>
      <c r="F19" s="6">
        <f>'Додаток 3'!F100</f>
        <v>84591167</v>
      </c>
      <c r="G19" s="6">
        <f>'Додаток 3'!G100</f>
        <v>18632551</v>
      </c>
      <c r="H19" s="6">
        <f>'Додаток 3'!H100</f>
        <v>0</v>
      </c>
      <c r="I19" s="6">
        <f>'Додаток 3'!I100</f>
        <v>1903510</v>
      </c>
      <c r="J19" s="6">
        <f>'Додаток 3'!J100</f>
        <v>1279997</v>
      </c>
      <c r="K19" s="6">
        <f>'Додаток 3'!K100</f>
        <v>180948</v>
      </c>
      <c r="L19" s="6">
        <f>'Додаток 3'!L100</f>
        <v>0</v>
      </c>
      <c r="M19" s="6">
        <f>'Додаток 3'!M100</f>
        <v>623513</v>
      </c>
      <c r="N19" s="6">
        <f>'Додаток 3'!N100</f>
        <v>623513</v>
      </c>
      <c r="O19" s="124">
        <f>'Додаток 3'!O100</f>
        <v>623513</v>
      </c>
      <c r="P19" s="55">
        <f>'Додаток 3'!P100</f>
        <v>138640491</v>
      </c>
    </row>
    <row r="20" spans="1:16" ht="36.75" customHeight="1">
      <c r="A20" s="297"/>
      <c r="B20" s="151"/>
      <c r="C20" s="18" t="s">
        <v>104</v>
      </c>
      <c r="D20" s="6">
        <f>'Додаток 3'!D101</f>
        <v>92628310</v>
      </c>
      <c r="E20" s="6">
        <f>'Додаток 3'!E101</f>
        <v>92628310</v>
      </c>
      <c r="F20" s="6">
        <f>'Додаток 3'!F101</f>
        <v>61510659</v>
      </c>
      <c r="G20" s="6">
        <f>'Додаток 3'!G101</f>
        <v>14063189</v>
      </c>
      <c r="H20" s="6">
        <f>'Додаток 3'!H101</f>
        <v>0</v>
      </c>
      <c r="I20" s="6">
        <f>'Додаток 3'!I101</f>
        <v>0</v>
      </c>
      <c r="J20" s="6">
        <f>'Додаток 3'!J101</f>
        <v>0</v>
      </c>
      <c r="K20" s="6">
        <f>'Додаток 3'!K101</f>
        <v>0</v>
      </c>
      <c r="L20" s="6">
        <f>'Додаток 3'!L101</f>
        <v>0</v>
      </c>
      <c r="M20" s="6">
        <f>'Додаток 3'!M101</f>
        <v>0</v>
      </c>
      <c r="N20" s="6">
        <f>'Додаток 3'!N101</f>
        <v>0</v>
      </c>
      <c r="O20" s="124">
        <f>'Додаток 3'!O101</f>
        <v>0</v>
      </c>
      <c r="P20" s="55">
        <f>'Додаток 3'!P101</f>
        <v>92628310</v>
      </c>
    </row>
    <row r="21" spans="1:16" ht="30" customHeight="1">
      <c r="A21" s="298"/>
      <c r="B21" s="151"/>
      <c r="C21" s="18" t="s">
        <v>105</v>
      </c>
      <c r="D21" s="6">
        <f>'Додаток 3'!D102</f>
        <v>7421638</v>
      </c>
      <c r="E21" s="6">
        <f>'Додаток 3'!E102</f>
        <v>7421638</v>
      </c>
      <c r="F21" s="6">
        <f>'Додаток 3'!F102</f>
        <v>5231069</v>
      </c>
      <c r="G21" s="6">
        <f>'Додаток 3'!G102</f>
        <v>36494</v>
      </c>
      <c r="H21" s="6">
        <f>'Додаток 3'!H102</f>
        <v>0</v>
      </c>
      <c r="I21" s="6">
        <f>'Додаток 3'!I102</f>
        <v>0</v>
      </c>
      <c r="J21" s="6">
        <f>'Додаток 3'!J102</f>
        <v>0</v>
      </c>
      <c r="K21" s="6">
        <f>'Додаток 3'!K102</f>
        <v>0</v>
      </c>
      <c r="L21" s="6">
        <f>'Додаток 3'!L102</f>
        <v>0</v>
      </c>
      <c r="M21" s="6">
        <f>'Додаток 3'!M102</f>
        <v>0</v>
      </c>
      <c r="N21" s="6">
        <f>'Додаток 3'!N102</f>
        <v>0</v>
      </c>
      <c r="O21" s="124">
        <f>'Додаток 3'!O102</f>
        <v>0</v>
      </c>
      <c r="P21" s="55">
        <f>'Додаток 3'!P102</f>
        <v>7421638</v>
      </c>
    </row>
    <row r="22" spans="1:16" ht="27" customHeight="1">
      <c r="A22" s="299" t="s">
        <v>106</v>
      </c>
      <c r="B22" s="150" t="s">
        <v>102</v>
      </c>
      <c r="C22" s="68" t="s">
        <v>107</v>
      </c>
      <c r="D22" s="6">
        <f>'Додаток 3'!D103</f>
        <v>1506603</v>
      </c>
      <c r="E22" s="6">
        <f>'Додаток 3'!E103</f>
        <v>1506603</v>
      </c>
      <c r="F22" s="6">
        <f>'Додаток 3'!F103</f>
        <v>1019183</v>
      </c>
      <c r="G22" s="6">
        <f>'Додаток 3'!G103</f>
        <v>173523</v>
      </c>
      <c r="H22" s="6">
        <f>'Додаток 3'!H103</f>
        <v>0</v>
      </c>
      <c r="I22" s="6">
        <f>'Додаток 3'!I103</f>
        <v>0</v>
      </c>
      <c r="J22" s="6">
        <f>'Додаток 3'!J103</f>
        <v>0</v>
      </c>
      <c r="K22" s="6">
        <f>'Додаток 3'!K103</f>
        <v>0</v>
      </c>
      <c r="L22" s="6">
        <f>'Додаток 3'!L103</f>
        <v>0</v>
      </c>
      <c r="M22" s="6">
        <f>'Додаток 3'!M103</f>
        <v>0</v>
      </c>
      <c r="N22" s="6">
        <f>'Додаток 3'!N103</f>
        <v>0</v>
      </c>
      <c r="O22" s="124">
        <f>'Додаток 3'!O103</f>
        <v>0</v>
      </c>
      <c r="P22" s="55">
        <f>'Додаток 3'!P103</f>
        <v>1506603</v>
      </c>
    </row>
    <row r="23" spans="1:16" ht="38.25" customHeight="1">
      <c r="A23" s="297"/>
      <c r="B23" s="151"/>
      <c r="C23" s="18" t="s">
        <v>104</v>
      </c>
      <c r="D23" s="17">
        <f>'Додаток 3'!D104</f>
        <v>455470</v>
      </c>
      <c r="E23" s="17">
        <f>'Додаток 3'!E104</f>
        <v>455470</v>
      </c>
      <c r="F23" s="17">
        <f>'Додаток 3'!F104</f>
        <v>373332</v>
      </c>
      <c r="G23" s="17">
        <f>'Додаток 3'!G104</f>
        <v>0</v>
      </c>
      <c r="H23" s="17">
        <f>'Додаток 3'!H104</f>
        <v>0</v>
      </c>
      <c r="I23" s="17">
        <f>'Додаток 3'!I104</f>
        <v>0</v>
      </c>
      <c r="J23" s="17">
        <f>'Додаток 3'!J104</f>
        <v>0</v>
      </c>
      <c r="K23" s="17">
        <f>'Додаток 3'!K104</f>
        <v>0</v>
      </c>
      <c r="L23" s="17">
        <f>'Додаток 3'!L104</f>
        <v>0</v>
      </c>
      <c r="M23" s="17">
        <f>'Додаток 3'!M104</f>
        <v>0</v>
      </c>
      <c r="N23" s="17">
        <f>'Додаток 3'!N104</f>
        <v>0</v>
      </c>
      <c r="O23" s="54">
        <f>'Додаток 3'!O104</f>
        <v>0</v>
      </c>
      <c r="P23" s="53">
        <f>'Додаток 3'!P104</f>
        <v>455470</v>
      </c>
    </row>
    <row r="24" spans="1:16" ht="24.75" customHeight="1">
      <c r="A24" s="298"/>
      <c r="B24" s="151"/>
      <c r="C24" s="18" t="s">
        <v>105</v>
      </c>
      <c r="D24" s="17">
        <f>'Додаток 3'!D105</f>
        <v>84760</v>
      </c>
      <c r="E24" s="17">
        <f>'Додаток 3'!E105</f>
        <v>84760</v>
      </c>
      <c r="F24" s="17">
        <f>'Додаток 3'!F105</f>
        <v>56190</v>
      </c>
      <c r="G24" s="17">
        <f>'Додаток 3'!G105</f>
        <v>0</v>
      </c>
      <c r="H24" s="17">
        <f>'Додаток 3'!H105</f>
        <v>0</v>
      </c>
      <c r="I24" s="17">
        <f>'Додаток 3'!I105</f>
        <v>0</v>
      </c>
      <c r="J24" s="17">
        <f>'Додаток 3'!J105</f>
        <v>0</v>
      </c>
      <c r="K24" s="17">
        <f>'Додаток 3'!K105</f>
        <v>0</v>
      </c>
      <c r="L24" s="17">
        <f>'Додаток 3'!L105</f>
        <v>0</v>
      </c>
      <c r="M24" s="17">
        <f>'Додаток 3'!M105</f>
        <v>0</v>
      </c>
      <c r="N24" s="17">
        <f>'Додаток 3'!N105</f>
        <v>0</v>
      </c>
      <c r="O24" s="54">
        <f>'Додаток 3'!O105</f>
        <v>0</v>
      </c>
      <c r="P24" s="53">
        <f>'Додаток 3'!P105</f>
        <v>84760</v>
      </c>
    </row>
    <row r="25" spans="1:16" ht="36" customHeight="1">
      <c r="A25" s="293" t="s">
        <v>96</v>
      </c>
      <c r="B25" s="139" t="s">
        <v>97</v>
      </c>
      <c r="C25" s="18" t="s">
        <v>98</v>
      </c>
      <c r="D25" s="19">
        <f>'Додаток 3'!D43</f>
        <v>1087333</v>
      </c>
      <c r="E25" s="19">
        <f>'Додаток 3'!E43</f>
        <v>1087333</v>
      </c>
      <c r="F25" s="19">
        <f>'Додаток 3'!F43</f>
        <v>0</v>
      </c>
      <c r="G25" s="19">
        <f>'Додаток 3'!G43</f>
        <v>0</v>
      </c>
      <c r="H25" s="19">
        <f>'Додаток 3'!H43</f>
        <v>0</v>
      </c>
      <c r="I25" s="19">
        <f>'Додаток 3'!I43</f>
        <v>0</v>
      </c>
      <c r="J25" s="19">
        <f>'Додаток 3'!J43</f>
        <v>0</v>
      </c>
      <c r="K25" s="19">
        <f>'Додаток 3'!K43</f>
        <v>0</v>
      </c>
      <c r="L25" s="19">
        <f>'Додаток 3'!L43</f>
        <v>0</v>
      </c>
      <c r="M25" s="19">
        <f>'Додаток 3'!M43</f>
        <v>0</v>
      </c>
      <c r="N25" s="19">
        <f>'Додаток 3'!N43</f>
        <v>0</v>
      </c>
      <c r="O25" s="51">
        <f>'Додаток 3'!O43</f>
        <v>0</v>
      </c>
      <c r="P25" s="52">
        <f>'Додаток 3'!P43</f>
        <v>1087333</v>
      </c>
    </row>
    <row r="26" spans="1:16" ht="91.5" customHeight="1">
      <c r="A26" s="293"/>
      <c r="B26" s="151"/>
      <c r="C26" s="130" t="str">
        <f>'Додаток 3'!C44</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D26" s="19">
        <f>'Додаток 3'!D44</f>
        <v>1087333</v>
      </c>
      <c r="E26" s="19">
        <f>'Додаток 3'!E44</f>
        <v>1087333</v>
      </c>
      <c r="F26" s="19">
        <f>'Додаток 3'!F44</f>
        <v>0</v>
      </c>
      <c r="G26" s="19">
        <f>'Додаток 3'!G44</f>
        <v>0</v>
      </c>
      <c r="H26" s="19">
        <f>'Додаток 3'!H44</f>
        <v>0</v>
      </c>
      <c r="I26" s="19">
        <f>'Додаток 3'!I44</f>
        <v>0</v>
      </c>
      <c r="J26" s="19">
        <f>'Додаток 3'!J44</f>
        <v>0</v>
      </c>
      <c r="K26" s="19">
        <f>'Додаток 3'!K44</f>
        <v>0</v>
      </c>
      <c r="L26" s="19">
        <f>'Додаток 3'!L44</f>
        <v>0</v>
      </c>
      <c r="M26" s="19">
        <f>'Додаток 3'!M44</f>
        <v>0</v>
      </c>
      <c r="N26" s="19">
        <f>'Додаток 3'!N44</f>
        <v>0</v>
      </c>
      <c r="O26" s="51">
        <f>'Додаток 3'!O44</f>
        <v>0</v>
      </c>
      <c r="P26" s="52">
        <f>'Додаток 3'!P44</f>
        <v>1087333</v>
      </c>
    </row>
    <row r="27" spans="1:16" ht="35.25" customHeight="1">
      <c r="A27" s="299" t="s">
        <v>108</v>
      </c>
      <c r="B27" s="139" t="s">
        <v>109</v>
      </c>
      <c r="C27" s="18" t="s">
        <v>110</v>
      </c>
      <c r="D27" s="6">
        <f>'Додаток 3'!D106</f>
        <v>7270787</v>
      </c>
      <c r="E27" s="6">
        <f>'Додаток 3'!E106</f>
        <v>7270787</v>
      </c>
      <c r="F27" s="6">
        <f>'Додаток 3'!F106</f>
        <v>5073789</v>
      </c>
      <c r="G27" s="6">
        <f>'Додаток 3'!G106</f>
        <v>861052</v>
      </c>
      <c r="H27" s="6">
        <f>'Додаток 3'!H106</f>
        <v>0</v>
      </c>
      <c r="I27" s="6">
        <f>'Додаток 3'!I106</f>
        <v>53440</v>
      </c>
      <c r="J27" s="6">
        <f>'Додаток 3'!J106</f>
        <v>13440</v>
      </c>
      <c r="K27" s="6">
        <f>'Додаток 3'!K106</f>
        <v>0</v>
      </c>
      <c r="L27" s="6">
        <f>'Додаток 3'!L106</f>
        <v>0</v>
      </c>
      <c r="M27" s="6">
        <f>'Додаток 3'!M106</f>
        <v>40000</v>
      </c>
      <c r="N27" s="6">
        <f>'Додаток 3'!N106</f>
        <v>40000</v>
      </c>
      <c r="O27" s="124">
        <f>'Додаток 3'!O106</f>
        <v>40000</v>
      </c>
      <c r="P27" s="55">
        <f>'Додаток 3'!P106</f>
        <v>7324227</v>
      </c>
    </row>
    <row r="28" spans="1:16" ht="34.5" customHeight="1">
      <c r="A28" s="313"/>
      <c r="B28" s="139"/>
      <c r="C28" s="18" t="s">
        <v>105</v>
      </c>
      <c r="D28" s="6">
        <f>'Додаток 3'!D107</f>
        <v>339434</v>
      </c>
      <c r="E28" s="6">
        <f>'Додаток 3'!E107</f>
        <v>339434</v>
      </c>
      <c r="F28" s="6">
        <f>'Додаток 3'!F107</f>
        <v>256140</v>
      </c>
      <c r="G28" s="6">
        <f>'Додаток 3'!G107</f>
        <v>0</v>
      </c>
      <c r="H28" s="6">
        <f>'Додаток 3'!H107</f>
        <v>0</v>
      </c>
      <c r="I28" s="6">
        <f>'Додаток 3'!I107</f>
        <v>0</v>
      </c>
      <c r="J28" s="6">
        <f>'Додаток 3'!J107</f>
        <v>0</v>
      </c>
      <c r="K28" s="6">
        <f>'Додаток 3'!K107</f>
        <v>0</v>
      </c>
      <c r="L28" s="6">
        <f>'Додаток 3'!L107</f>
        <v>0</v>
      </c>
      <c r="M28" s="6">
        <f>'Додаток 3'!M107</f>
        <v>0</v>
      </c>
      <c r="N28" s="6">
        <f>'Додаток 3'!N107</f>
        <v>0</v>
      </c>
      <c r="O28" s="124">
        <f>'Додаток 3'!O107</f>
        <v>0</v>
      </c>
      <c r="P28" s="55">
        <f>'Додаток 3'!P107</f>
        <v>339434</v>
      </c>
    </row>
    <row r="29" spans="1:16" s="4" customFormat="1" ht="32.25" customHeight="1">
      <c r="A29" s="299" t="s">
        <v>111</v>
      </c>
      <c r="B29" s="139" t="s">
        <v>112</v>
      </c>
      <c r="C29" s="18" t="s">
        <v>113</v>
      </c>
      <c r="D29" s="6">
        <f>'Додаток 3'!D108</f>
        <v>859655</v>
      </c>
      <c r="E29" s="6">
        <f>'Додаток 3'!E108</f>
        <v>859655</v>
      </c>
      <c r="F29" s="6">
        <f>'Додаток 3'!F108</f>
        <v>646554</v>
      </c>
      <c r="G29" s="6">
        <f>'Додаток 3'!G108</f>
        <v>48239</v>
      </c>
      <c r="H29" s="6">
        <f>'Додаток 3'!H108</f>
        <v>0</v>
      </c>
      <c r="I29" s="6">
        <f>'Додаток 3'!I108</f>
        <v>0</v>
      </c>
      <c r="J29" s="6">
        <f>'Додаток 3'!J108</f>
        <v>0</v>
      </c>
      <c r="K29" s="6">
        <f>'Додаток 3'!K108</f>
        <v>0</v>
      </c>
      <c r="L29" s="6">
        <f>'Додаток 3'!L108</f>
        <v>0</v>
      </c>
      <c r="M29" s="6">
        <f>'Додаток 3'!M108</f>
        <v>0</v>
      </c>
      <c r="N29" s="6">
        <f>'Додаток 3'!N108</f>
        <v>0</v>
      </c>
      <c r="O29" s="124">
        <f>'Додаток 3'!O108</f>
        <v>0</v>
      </c>
      <c r="P29" s="55">
        <f>'Додаток 3'!P108</f>
        <v>859655</v>
      </c>
    </row>
    <row r="30" spans="1:16" s="4" customFormat="1" ht="31.5" customHeight="1">
      <c r="A30" s="327"/>
      <c r="B30" s="139"/>
      <c r="C30" s="18" t="s">
        <v>105</v>
      </c>
      <c r="D30" s="6">
        <f>'Додаток 3'!D109</f>
        <v>39035</v>
      </c>
      <c r="E30" s="6">
        <f>'Додаток 3'!E109</f>
        <v>39035</v>
      </c>
      <c r="F30" s="6">
        <f>'Додаток 3'!F109</f>
        <v>26754</v>
      </c>
      <c r="G30" s="6">
        <f>'Додаток 3'!G109</f>
        <v>0</v>
      </c>
      <c r="H30" s="6">
        <v>0</v>
      </c>
      <c r="I30" s="6">
        <f>'Додаток 3'!I109</f>
        <v>0</v>
      </c>
      <c r="J30" s="6">
        <f>'Додаток 3'!J109</f>
        <v>0</v>
      </c>
      <c r="K30" s="6">
        <f>'Додаток 3'!K109</f>
        <v>0</v>
      </c>
      <c r="L30" s="6">
        <f>'Додаток 3'!L109</f>
        <v>0</v>
      </c>
      <c r="M30" s="6">
        <f>'Додаток 3'!M109</f>
        <v>0</v>
      </c>
      <c r="N30" s="6">
        <f>'Додаток 3'!N109</f>
        <v>0</v>
      </c>
      <c r="O30" s="124">
        <f>'Додаток 3'!O109</f>
        <v>0</v>
      </c>
      <c r="P30" s="55">
        <f>'Додаток 3'!P109</f>
        <v>0</v>
      </c>
    </row>
    <row r="31" spans="1:16" s="4" customFormat="1" ht="37.5" customHeight="1">
      <c r="A31" s="299" t="s">
        <v>114</v>
      </c>
      <c r="B31" s="139" t="s">
        <v>112</v>
      </c>
      <c r="C31" s="18" t="s">
        <v>115</v>
      </c>
      <c r="D31" s="6">
        <f>'Додаток 3'!D110</f>
        <v>603352</v>
      </c>
      <c r="E31" s="6">
        <f>'Додаток 3'!E110</f>
        <v>603352</v>
      </c>
      <c r="F31" s="6">
        <f>'Додаток 3'!F110</f>
        <v>411018</v>
      </c>
      <c r="G31" s="6">
        <f>'Додаток 3'!G110</f>
        <v>27479</v>
      </c>
      <c r="H31" s="6">
        <f>'Додаток 3'!H110</f>
        <v>0</v>
      </c>
      <c r="I31" s="6">
        <f>'Додаток 3'!I110</f>
        <v>0</v>
      </c>
      <c r="J31" s="6">
        <f>'Додаток 3'!J110</f>
        <v>0</v>
      </c>
      <c r="K31" s="6">
        <f>'Додаток 3'!K110</f>
        <v>0</v>
      </c>
      <c r="L31" s="6">
        <f>'Додаток 3'!L110</f>
        <v>0</v>
      </c>
      <c r="M31" s="6">
        <f>'Додаток 3'!M110</f>
        <v>0</v>
      </c>
      <c r="N31" s="6">
        <f>'Додаток 3'!N110</f>
        <v>0</v>
      </c>
      <c r="O31" s="124">
        <f>'Додаток 3'!O110</f>
        <v>0</v>
      </c>
      <c r="P31" s="55">
        <f>'Додаток 3'!P110</f>
        <v>603352</v>
      </c>
    </row>
    <row r="32" spans="1:16" s="4" customFormat="1" ht="30" customHeight="1">
      <c r="A32" s="312"/>
      <c r="B32" s="139"/>
      <c r="C32" s="18" t="s">
        <v>105</v>
      </c>
      <c r="D32" s="17">
        <f>'Додаток 3'!D111</f>
        <v>47940</v>
      </c>
      <c r="E32" s="17">
        <f>'Додаток 3'!E111</f>
        <v>47940</v>
      </c>
      <c r="F32" s="17">
        <f>'Додаток 3'!F111</f>
        <v>21203</v>
      </c>
      <c r="G32" s="17">
        <f>'Додаток 3'!G111</f>
        <v>0</v>
      </c>
      <c r="H32" s="122">
        <v>0</v>
      </c>
      <c r="I32" s="6">
        <f>'Додаток 3'!I111</f>
        <v>0</v>
      </c>
      <c r="J32" s="6">
        <f>'Додаток 3'!J111</f>
        <v>0</v>
      </c>
      <c r="K32" s="6">
        <f>'Додаток 3'!K111</f>
        <v>0</v>
      </c>
      <c r="L32" s="6">
        <f>'Додаток 3'!L111</f>
        <v>0</v>
      </c>
      <c r="M32" s="6">
        <f>'Додаток 3'!M111</f>
        <v>0</v>
      </c>
      <c r="N32" s="6">
        <f>'Додаток 3'!N111</f>
        <v>0</v>
      </c>
      <c r="O32" s="124">
        <f>'Додаток 3'!O111</f>
        <v>0</v>
      </c>
      <c r="P32" s="55">
        <f>'Додаток 3'!P111</f>
        <v>0</v>
      </c>
    </row>
    <row r="33" spans="1:16" ht="29.25" customHeight="1">
      <c r="A33" s="299" t="s">
        <v>116</v>
      </c>
      <c r="B33" s="139" t="s">
        <v>112</v>
      </c>
      <c r="C33" s="18" t="s">
        <v>117</v>
      </c>
      <c r="D33" s="21">
        <f>'Додаток 3'!D112</f>
        <v>3046732</v>
      </c>
      <c r="E33" s="21">
        <f>'Додаток 3'!E112</f>
        <v>3046732</v>
      </c>
      <c r="F33" s="21">
        <f>'Додаток 3'!F112</f>
        <v>2190619</v>
      </c>
      <c r="G33" s="21">
        <f>'Додаток 3'!G112</f>
        <v>134906</v>
      </c>
      <c r="H33" s="20">
        <f>'Додаток 3'!H112</f>
        <v>0</v>
      </c>
      <c r="I33" s="19">
        <f>'Додаток 3'!I112</f>
        <v>0</v>
      </c>
      <c r="J33" s="19">
        <f>'Додаток 3'!J112</f>
        <v>0</v>
      </c>
      <c r="K33" s="19">
        <f>'Додаток 3'!K112</f>
        <v>0</v>
      </c>
      <c r="L33" s="19">
        <f>'Додаток 3'!L112</f>
        <v>0</v>
      </c>
      <c r="M33" s="19">
        <f>'Додаток 3'!M112</f>
        <v>0</v>
      </c>
      <c r="N33" s="19">
        <f>'Додаток 3'!N112</f>
        <v>0</v>
      </c>
      <c r="O33" s="51">
        <f>'Додаток 3'!O112</f>
        <v>0</v>
      </c>
      <c r="P33" s="52">
        <f>'Додаток 3'!P112</f>
        <v>3046732</v>
      </c>
    </row>
    <row r="34" spans="1:16" ht="33" customHeight="1">
      <c r="A34" s="312"/>
      <c r="B34" s="139"/>
      <c r="C34" s="18" t="s">
        <v>105</v>
      </c>
      <c r="D34" s="21">
        <f>'Додаток 3'!D113</f>
        <v>221193</v>
      </c>
      <c r="E34" s="21">
        <f>'Додаток 3'!E113</f>
        <v>221193</v>
      </c>
      <c r="F34" s="21">
        <f>'Додаток 3'!F113</f>
        <v>86300</v>
      </c>
      <c r="G34" s="21">
        <f>'Додаток 3'!G113</f>
        <v>15303</v>
      </c>
      <c r="H34" s="21">
        <f>'Додаток 3'!H113</f>
        <v>0</v>
      </c>
      <c r="I34" s="21">
        <f>'Додаток 3'!I113</f>
        <v>0</v>
      </c>
      <c r="J34" s="21">
        <f>'Додаток 3'!J113</f>
        <v>0</v>
      </c>
      <c r="K34" s="21">
        <f>'Додаток 3'!K113</f>
        <v>0</v>
      </c>
      <c r="L34" s="21">
        <f>'Додаток 3'!L113</f>
        <v>0</v>
      </c>
      <c r="M34" s="21">
        <f>'Додаток 3'!M113</f>
        <v>0</v>
      </c>
      <c r="N34" s="21">
        <f>'Додаток 3'!N113</f>
        <v>0</v>
      </c>
      <c r="O34" s="123">
        <f>'Додаток 3'!O113</f>
        <v>0</v>
      </c>
      <c r="P34" s="61">
        <f>'Додаток 3'!P113</f>
        <v>0</v>
      </c>
    </row>
    <row r="35" spans="1:16" ht="41.25" customHeight="1">
      <c r="A35" s="299" t="s">
        <v>118</v>
      </c>
      <c r="B35" s="139" t="s">
        <v>112</v>
      </c>
      <c r="C35" s="18" t="s">
        <v>119</v>
      </c>
      <c r="D35" s="19">
        <f>'Додаток 3'!D114</f>
        <v>57920</v>
      </c>
      <c r="E35" s="19">
        <f>'Додаток 3'!E114</f>
        <v>57920</v>
      </c>
      <c r="F35" s="19">
        <f>'Додаток 3'!F114</f>
        <v>0</v>
      </c>
      <c r="G35" s="19">
        <f>'Додаток 3'!G114</f>
        <v>0</v>
      </c>
      <c r="H35" s="19">
        <f>'Додаток 3'!H114</f>
        <v>0</v>
      </c>
      <c r="I35" s="19">
        <f>'Додаток 3'!I114</f>
        <v>0</v>
      </c>
      <c r="J35" s="19">
        <f>'Додаток 3'!J114</f>
        <v>0</v>
      </c>
      <c r="K35" s="19">
        <f>'Додаток 3'!K114</f>
        <v>0</v>
      </c>
      <c r="L35" s="19">
        <f>'Додаток 3'!L114</f>
        <v>0</v>
      </c>
      <c r="M35" s="19">
        <f>'Додаток 3'!M114</f>
        <v>0</v>
      </c>
      <c r="N35" s="19">
        <f>'Додаток 3'!N114</f>
        <v>0</v>
      </c>
      <c r="O35" s="51">
        <f>'Додаток 3'!O114</f>
        <v>0</v>
      </c>
      <c r="P35" s="52">
        <f>'Додаток 3'!P114</f>
        <v>57920</v>
      </c>
    </row>
    <row r="36" spans="1:16" ht="29.25" customHeight="1">
      <c r="A36" s="327"/>
      <c r="B36" s="150"/>
      <c r="C36" s="18" t="s">
        <v>105</v>
      </c>
      <c r="D36" s="21">
        <f>'Додаток 3'!D115</f>
        <v>30770</v>
      </c>
      <c r="E36" s="21">
        <f>'Додаток 3'!E115</f>
        <v>30770</v>
      </c>
      <c r="F36" s="21">
        <f>'Додаток 3'!F115</f>
        <v>0</v>
      </c>
      <c r="G36" s="21">
        <f>'Додаток 3'!G115</f>
        <v>0</v>
      </c>
      <c r="H36" s="21">
        <f>'Додаток 3'!H115</f>
        <v>0</v>
      </c>
      <c r="I36" s="21">
        <f>'Додаток 3'!I115</f>
        <v>0</v>
      </c>
      <c r="J36" s="21">
        <f>'Додаток 3'!J115</f>
        <v>0</v>
      </c>
      <c r="K36" s="21">
        <f>'Додаток 3'!K115</f>
        <v>0</v>
      </c>
      <c r="L36" s="21">
        <f>'Додаток 3'!L115</f>
        <v>0</v>
      </c>
      <c r="M36" s="21">
        <f>'Додаток 3'!M115</f>
        <v>0</v>
      </c>
      <c r="N36" s="21">
        <f>'Додаток 3'!N115</f>
        <v>0</v>
      </c>
      <c r="O36" s="123">
        <f>'Додаток 3'!O115</f>
        <v>0</v>
      </c>
      <c r="P36" s="61">
        <f>'Додаток 3'!P115</f>
        <v>30770</v>
      </c>
    </row>
    <row r="37" spans="1:16" s="265" customFormat="1" ht="32.25" customHeight="1">
      <c r="A37" s="266" t="s">
        <v>31</v>
      </c>
      <c r="B37" s="267"/>
      <c r="C37" s="268" t="s">
        <v>134</v>
      </c>
      <c r="D37" s="21">
        <f>D38+D40+D42+D45+D47+D49+D51+D53+D55+D57+D59+D61+D63+D65+D67+D69+D71+D73+D75+D78+D80+D82+D84+D85+D86+D79+D77</f>
        <v>185754370.71</v>
      </c>
      <c r="E37" s="21">
        <f>E38+E40+E42+E45+E47+E49+E51+E53+E55+E57+E59+E61+E63+E65+E67+E69+E71+E73+E75+E78+E80+E82+E84+E85+E86+E79+E77</f>
        <v>185754370.71</v>
      </c>
      <c r="F37" s="21">
        <f aca="true" t="shared" si="2" ref="F37:O37">F38+F40+F42+F45+F47+F49+F51+F53+F55+F57+F59+F61+F63+F65+F67+F69+F71+F73+F75+F78+F80+F82+F84+F85+F86</f>
        <v>4192383.5</v>
      </c>
      <c r="G37" s="21">
        <f t="shared" si="2"/>
        <v>286368</v>
      </c>
      <c r="H37" s="21">
        <f t="shared" si="2"/>
        <v>0</v>
      </c>
      <c r="I37" s="21">
        <f t="shared" si="2"/>
        <v>121377</v>
      </c>
      <c r="J37" s="21">
        <f t="shared" si="2"/>
        <v>46127</v>
      </c>
      <c r="K37" s="21">
        <f t="shared" si="2"/>
        <v>33711</v>
      </c>
      <c r="L37" s="21">
        <f t="shared" si="2"/>
        <v>0</v>
      </c>
      <c r="M37" s="21">
        <f t="shared" si="2"/>
        <v>75250</v>
      </c>
      <c r="N37" s="21">
        <f t="shared" si="2"/>
        <v>75250</v>
      </c>
      <c r="O37" s="123">
        <f t="shared" si="2"/>
        <v>75250</v>
      </c>
      <c r="P37" s="61">
        <f>P38+P40+P42+P45+P47+P49+P51+P53+P55+P57+P59+P61+P63+P65+P67+P69+P71+P73+P75+P78+P80+P82+P84+P85+P86+P77+P79</f>
        <v>185875747.71</v>
      </c>
    </row>
    <row r="38" spans="1:16" s="3" customFormat="1" ht="153" customHeight="1">
      <c r="A38" s="129" t="s">
        <v>48</v>
      </c>
      <c r="B38" s="150" t="s">
        <v>49</v>
      </c>
      <c r="C38" s="68" t="str">
        <f>'Додаток 3'!C46</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D38" s="21">
        <f>'Додаток 3'!D46</f>
        <v>10250143.09</v>
      </c>
      <c r="E38" s="21">
        <f>'Додаток 3'!E46</f>
        <v>10250143.09</v>
      </c>
      <c r="F38" s="21">
        <f>'Додаток 3'!F46</f>
        <v>0</v>
      </c>
      <c r="G38" s="21">
        <f>'Додаток 3'!G46</f>
        <v>0</v>
      </c>
      <c r="H38" s="21">
        <f>'Додаток 3'!H46</f>
        <v>0</v>
      </c>
      <c r="I38" s="21">
        <f>'Додаток 3'!I46</f>
        <v>0</v>
      </c>
      <c r="J38" s="21">
        <f>'Додаток 3'!J46</f>
        <v>0</v>
      </c>
      <c r="K38" s="21">
        <f>'Додаток 3'!K46</f>
        <v>0</v>
      </c>
      <c r="L38" s="21">
        <f>'Додаток 3'!L46</f>
        <v>0</v>
      </c>
      <c r="M38" s="21">
        <f>'Додаток 3'!M46</f>
        <v>0</v>
      </c>
      <c r="N38" s="21">
        <f>'Додаток 3'!N46</f>
        <v>0</v>
      </c>
      <c r="O38" s="123">
        <f>'Додаток 3'!O46</f>
        <v>0</v>
      </c>
      <c r="P38" s="61">
        <f>'Додаток 3'!P46</f>
        <v>10250143.09</v>
      </c>
    </row>
    <row r="39" spans="1:16" ht="81" customHeight="1">
      <c r="A39" s="16"/>
      <c r="B39" s="139"/>
      <c r="C39" s="67" t="str">
        <f>'Додаток 3'!C47</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39" s="23">
        <f>'Додаток 3'!D47</f>
        <v>10250143.09</v>
      </c>
      <c r="E39" s="23">
        <f>'Додаток 3'!E47</f>
        <v>10250143.09</v>
      </c>
      <c r="F39" s="23">
        <f>'Додаток 3'!F47</f>
        <v>0</v>
      </c>
      <c r="G39" s="23">
        <f>'Додаток 3'!G47</f>
        <v>0</v>
      </c>
      <c r="H39" s="23">
        <f>'Додаток 3'!H47</f>
        <v>0</v>
      </c>
      <c r="I39" s="23">
        <f>'Додаток 3'!I47</f>
        <v>0</v>
      </c>
      <c r="J39" s="23">
        <f>'Додаток 3'!J47</f>
        <v>0</v>
      </c>
      <c r="K39" s="23">
        <f>'Додаток 3'!K47</f>
        <v>0</v>
      </c>
      <c r="L39" s="23">
        <f>'Додаток 3'!L47</f>
        <v>0</v>
      </c>
      <c r="M39" s="23">
        <f>'Додаток 3'!M47</f>
        <v>0</v>
      </c>
      <c r="N39" s="23">
        <f>'Додаток 3'!N47</f>
        <v>0</v>
      </c>
      <c r="O39" s="63">
        <f>'Додаток 3'!O47</f>
        <v>0</v>
      </c>
      <c r="P39" s="58">
        <f>'Додаток 3'!P47</f>
        <v>10250143.09</v>
      </c>
    </row>
    <row r="40" spans="1:16" ht="140.25" customHeight="1" thickBot="1">
      <c r="A40" s="24" t="s">
        <v>50</v>
      </c>
      <c r="B40" s="152" t="s">
        <v>49</v>
      </c>
      <c r="C40" s="72" t="str">
        <f>'Додаток 3'!C48</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D40" s="29">
        <f>'Додаток 3'!D48</f>
        <v>363.3100000000001</v>
      </c>
      <c r="E40" s="25">
        <f>'Додаток 3'!E48</f>
        <v>363.3100000000001</v>
      </c>
      <c r="F40" s="25">
        <f>'Додаток 3'!F48</f>
        <v>0</v>
      </c>
      <c r="G40" s="25">
        <f>'Додаток 3'!G48</f>
        <v>0</v>
      </c>
      <c r="H40" s="25">
        <f>'Додаток 3'!H48</f>
        <v>0</v>
      </c>
      <c r="I40" s="25">
        <f>'Додаток 3'!I48</f>
        <v>0</v>
      </c>
      <c r="J40" s="25">
        <f>'Додаток 3'!J48</f>
        <v>0</v>
      </c>
      <c r="K40" s="25">
        <f>'Додаток 3'!K48</f>
        <v>0</v>
      </c>
      <c r="L40" s="25">
        <f>'Додаток 3'!L48</f>
        <v>0</v>
      </c>
      <c r="M40" s="25">
        <f>'Додаток 3'!M48</f>
        <v>0</v>
      </c>
      <c r="N40" s="25">
        <f>'Додаток 3'!N48</f>
        <v>0</v>
      </c>
      <c r="O40" s="59">
        <f>'Додаток 3'!O48</f>
        <v>0</v>
      </c>
      <c r="P40" s="60">
        <f>'Додаток 3'!P48</f>
        <v>363.3100000000001</v>
      </c>
    </row>
    <row r="41" spans="1:16" ht="58.5" customHeight="1" thickBot="1">
      <c r="A41" s="129"/>
      <c r="B41" s="150"/>
      <c r="C41" s="68" t="str">
        <f>'Додаток 3'!C49</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41" s="21">
        <f>'Додаток 3'!D49</f>
        <v>363.3100000000001</v>
      </c>
      <c r="E41" s="21">
        <f>'Додаток 3'!E49</f>
        <v>363.3100000000001</v>
      </c>
      <c r="F41" s="21">
        <f>'Додаток 3'!F49</f>
        <v>0</v>
      </c>
      <c r="G41" s="21">
        <f>'Додаток 3'!G49</f>
        <v>0</v>
      </c>
      <c r="H41" s="21">
        <f>'Додаток 3'!H49</f>
        <v>0</v>
      </c>
      <c r="I41" s="21">
        <f>'Додаток 3'!I49</f>
        <v>0</v>
      </c>
      <c r="J41" s="21">
        <f>'Додаток 3'!J49</f>
        <v>0</v>
      </c>
      <c r="K41" s="21">
        <f>'Додаток 3'!K49</f>
        <v>0</v>
      </c>
      <c r="L41" s="21">
        <f>'Додаток 3'!L49</f>
        <v>0</v>
      </c>
      <c r="M41" s="21">
        <f>'Додаток 3'!M49</f>
        <v>0</v>
      </c>
      <c r="N41" s="21">
        <f>'Додаток 3'!N49</f>
        <v>0</v>
      </c>
      <c r="O41" s="123">
        <f>'Додаток 3'!O49</f>
        <v>0</v>
      </c>
      <c r="P41" s="61">
        <f>'Додаток 3'!P49</f>
        <v>363.3100000000001</v>
      </c>
    </row>
    <row r="42" spans="1:16" ht="216" customHeight="1" thickBot="1">
      <c r="A42" s="76" t="s">
        <v>51</v>
      </c>
      <c r="B42" s="140" t="s">
        <v>49</v>
      </c>
      <c r="C42" s="77" t="str">
        <f>'Додаток 3'!C50</f>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v>
      </c>
      <c r="D42" s="26">
        <f>'Додаток 3'!D50</f>
        <v>3212378.5</v>
      </c>
      <c r="E42" s="26">
        <f>'Додаток 3'!E50</f>
        <v>3212378.5</v>
      </c>
      <c r="F42" s="26">
        <f>'Додаток 3'!F50</f>
        <v>0</v>
      </c>
      <c r="G42" s="26">
        <f>'Додаток 3'!G50</f>
        <v>0</v>
      </c>
      <c r="H42" s="26">
        <f>'Додаток 3'!H50</f>
        <v>0</v>
      </c>
      <c r="I42" s="26">
        <f>'Додаток 3'!I50</f>
        <v>0</v>
      </c>
      <c r="J42" s="26">
        <f>'Додаток 3'!J50</f>
        <v>0</v>
      </c>
      <c r="K42" s="26">
        <f>'Додаток 3'!K50</f>
        <v>0</v>
      </c>
      <c r="L42" s="26">
        <f>'Додаток 3'!L50</f>
        <v>0</v>
      </c>
      <c r="M42" s="26">
        <f>'Додаток 3'!M50</f>
        <v>0</v>
      </c>
      <c r="N42" s="26">
        <f>'Додаток 3'!N50</f>
        <v>0</v>
      </c>
      <c r="O42" s="125">
        <f>'Додаток 3'!O50</f>
        <v>0</v>
      </c>
      <c r="P42" s="32">
        <f>'Додаток 3'!P50</f>
        <v>3212378.5</v>
      </c>
    </row>
    <row r="43" spans="1:16" ht="179.25" customHeight="1">
      <c r="A43" s="121"/>
      <c r="B43" s="151"/>
      <c r="C43" s="28" t="str">
        <f>'Додаток 3'!C51</f>
        <v>(до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v>
      </c>
      <c r="D43" s="19">
        <f>'Додаток 3'!D51</f>
        <v>0</v>
      </c>
      <c r="E43" s="19">
        <f>'Додаток 3'!E51</f>
        <v>0</v>
      </c>
      <c r="F43" s="19">
        <f>'Додаток 3'!F51</f>
        <v>0</v>
      </c>
      <c r="G43" s="19">
        <f>'Додаток 3'!G51</f>
        <v>0</v>
      </c>
      <c r="H43" s="19">
        <f>'Додаток 3'!H51</f>
        <v>0</v>
      </c>
      <c r="I43" s="19">
        <f>'Додаток 3'!I51</f>
        <v>0</v>
      </c>
      <c r="J43" s="19">
        <f>'Додаток 3'!J51</f>
        <v>0</v>
      </c>
      <c r="K43" s="19">
        <f>'Додаток 3'!K51</f>
        <v>0</v>
      </c>
      <c r="L43" s="19">
        <f>'Додаток 3'!L51</f>
        <v>0</v>
      </c>
      <c r="M43" s="19">
        <f>'Додаток 3'!M51</f>
        <v>0</v>
      </c>
      <c r="N43" s="19">
        <f>'Додаток 3'!N51</f>
        <v>0</v>
      </c>
      <c r="O43" s="51">
        <f>'Додаток 3'!O51</f>
        <v>0</v>
      </c>
      <c r="P43" s="50">
        <f>'Додаток 3'!P51</f>
        <v>0</v>
      </c>
    </row>
    <row r="44" spans="1:16" ht="82.5" customHeight="1">
      <c r="A44" s="261"/>
      <c r="B44" s="151"/>
      <c r="C44" s="28" t="str">
        <f>'Додаток 3'!C52</f>
        <v>в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D44" s="19">
        <f>'Додаток 3'!D52</f>
        <v>3212378.5</v>
      </c>
      <c r="E44" s="19">
        <f>'Додаток 3'!E52</f>
        <v>3212378.5</v>
      </c>
      <c r="F44" s="19">
        <f>'Додаток 3'!F52</f>
        <v>0</v>
      </c>
      <c r="G44" s="19">
        <f>'Додаток 3'!G52</f>
        <v>0</v>
      </c>
      <c r="H44" s="19">
        <f>'Додаток 3'!H52</f>
        <v>0</v>
      </c>
      <c r="I44" s="19">
        <f>'Додаток 3'!I52</f>
        <v>0</v>
      </c>
      <c r="J44" s="19">
        <f>'Додаток 3'!J52</f>
        <v>0</v>
      </c>
      <c r="K44" s="19">
        <f>'Додаток 3'!K52</f>
        <v>0</v>
      </c>
      <c r="L44" s="19">
        <f>'Додаток 3'!L52</f>
        <v>0</v>
      </c>
      <c r="M44" s="19">
        <f>'Додаток 3'!M52</f>
        <v>0</v>
      </c>
      <c r="N44" s="19">
        <f>'Додаток 3'!N52</f>
        <v>0</v>
      </c>
      <c r="O44" s="51">
        <f>'Додаток 3'!O52</f>
        <v>0</v>
      </c>
      <c r="P44" s="52">
        <f>'Додаток 3'!P52</f>
        <v>3212378.5</v>
      </c>
    </row>
    <row r="45" spans="1:16" ht="66.75" customHeight="1">
      <c r="A45" s="27" t="s">
        <v>52</v>
      </c>
      <c r="B45" s="140" t="s">
        <v>53</v>
      </c>
      <c r="C45" s="69" t="str">
        <f>'Додаток 3'!C53</f>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D45" s="19">
        <f>'Додаток 3'!D53</f>
        <v>1949028.44</v>
      </c>
      <c r="E45" s="19">
        <f>'Додаток 3'!E53</f>
        <v>1949028.44</v>
      </c>
      <c r="F45" s="19">
        <f>'Додаток 3'!F53</f>
        <v>0</v>
      </c>
      <c r="G45" s="19">
        <f>'Додаток 3'!G53</f>
        <v>0</v>
      </c>
      <c r="H45" s="19">
        <f>'Додаток 3'!H53</f>
        <v>0</v>
      </c>
      <c r="I45" s="19">
        <f>'Додаток 3'!I53</f>
        <v>0</v>
      </c>
      <c r="J45" s="19">
        <f>'Додаток 3'!J53</f>
        <v>0</v>
      </c>
      <c r="K45" s="19">
        <f>'Додаток 3'!K53</f>
        <v>0</v>
      </c>
      <c r="L45" s="19">
        <f>'Додаток 3'!L53</f>
        <v>0</v>
      </c>
      <c r="M45" s="19">
        <f>'Додаток 3'!M53</f>
        <v>0</v>
      </c>
      <c r="N45" s="19">
        <f>'Додаток 3'!N53</f>
        <v>0</v>
      </c>
      <c r="O45" s="51">
        <f>'Додаток 3'!O53</f>
        <v>0</v>
      </c>
      <c r="P45" s="52">
        <f>'Додаток 3'!P53</f>
        <v>1949028.44</v>
      </c>
    </row>
    <row r="46" spans="1:16" ht="88.5" customHeight="1">
      <c r="A46" s="16"/>
      <c r="B46" s="151"/>
      <c r="C46" s="28" t="str">
        <f>'Додаток 3'!C56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6" s="19">
        <f>'Додаток 3'!D54</f>
        <v>1949028.44</v>
      </c>
      <c r="E46" s="19">
        <f>'Додаток 3'!E54</f>
        <v>1949028.44</v>
      </c>
      <c r="F46" s="19">
        <f>'Додаток 3'!F54</f>
        <v>0</v>
      </c>
      <c r="G46" s="19">
        <f>'Додаток 3'!G54</f>
        <v>0</v>
      </c>
      <c r="H46" s="19">
        <f>'Додаток 3'!H54</f>
        <v>0</v>
      </c>
      <c r="I46" s="19">
        <f>'Додаток 3'!I54</f>
        <v>0</v>
      </c>
      <c r="J46" s="19">
        <f>'Додаток 3'!J54</f>
        <v>0</v>
      </c>
      <c r="K46" s="19">
        <f>'Додаток 3'!K54</f>
        <v>0</v>
      </c>
      <c r="L46" s="19">
        <f>'Додаток 3'!L54</f>
        <v>0</v>
      </c>
      <c r="M46" s="19">
        <f>'Додаток 3'!M54</f>
        <v>0</v>
      </c>
      <c r="N46" s="19">
        <f>'Додаток 3'!N54</f>
        <v>0</v>
      </c>
      <c r="O46" s="51">
        <f>'Додаток 3'!O54</f>
        <v>0</v>
      </c>
      <c r="P46" s="52">
        <f>'Додаток 3'!P54</f>
        <v>1949028.44</v>
      </c>
    </row>
    <row r="47" spans="1:16" ht="87.75" customHeight="1">
      <c r="A47" s="16" t="s">
        <v>54</v>
      </c>
      <c r="B47" s="139" t="s">
        <v>53</v>
      </c>
      <c r="C47" s="28" t="str">
        <f>'Додаток 3'!C55</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v>
      </c>
      <c r="D47" s="19">
        <f>'Додаток 3'!D55</f>
        <v>2068200</v>
      </c>
      <c r="E47" s="19">
        <f>'Додаток 3'!E55</f>
        <v>2068200</v>
      </c>
      <c r="F47" s="19">
        <f>'Додаток 3'!F55</f>
        <v>0</v>
      </c>
      <c r="G47" s="19">
        <f>'Додаток 3'!G55</f>
        <v>0</v>
      </c>
      <c r="H47" s="19">
        <f>'Додаток 3'!H55</f>
        <v>0</v>
      </c>
      <c r="I47" s="19">
        <f>'Додаток 3'!I55</f>
        <v>0</v>
      </c>
      <c r="J47" s="19">
        <f>'Додаток 3'!J55</f>
        <v>0</v>
      </c>
      <c r="K47" s="19">
        <f>'Додаток 3'!K55</f>
        <v>0</v>
      </c>
      <c r="L47" s="19">
        <f>'Додаток 3'!L55</f>
        <v>0</v>
      </c>
      <c r="M47" s="19">
        <f>'Додаток 3'!M55</f>
        <v>0</v>
      </c>
      <c r="N47" s="19">
        <f>'Додаток 3'!N55</f>
        <v>0</v>
      </c>
      <c r="O47" s="51">
        <f>'Додаток 3'!O55</f>
        <v>0</v>
      </c>
      <c r="P47" s="52">
        <f>'Додаток 3'!P55</f>
        <v>2068200</v>
      </c>
    </row>
    <row r="48" spans="1:16" ht="84" customHeight="1">
      <c r="A48" s="16"/>
      <c r="B48" s="151"/>
      <c r="C48" s="67" t="str">
        <f>'Додаток 3'!C56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8" s="19">
        <f>'Додаток 3'!D56</f>
        <v>2068200</v>
      </c>
      <c r="E48" s="19">
        <f>'Додаток 3'!E56</f>
        <v>2068200</v>
      </c>
      <c r="F48" s="19">
        <f>'Додаток 3'!F56</f>
        <v>0</v>
      </c>
      <c r="G48" s="19">
        <f>'Додаток 3'!G56</f>
        <v>0</v>
      </c>
      <c r="H48" s="19">
        <f>'Додаток 3'!H56</f>
        <v>0</v>
      </c>
      <c r="I48" s="19">
        <f>'Додаток 3'!I56</f>
        <v>0</v>
      </c>
      <c r="J48" s="19">
        <f>'Додаток 3'!J56</f>
        <v>0</v>
      </c>
      <c r="K48" s="19">
        <f>'Додаток 3'!K56</f>
        <v>0</v>
      </c>
      <c r="L48" s="19">
        <f>'Додаток 3'!L56</f>
        <v>0</v>
      </c>
      <c r="M48" s="19">
        <f>'Додаток 3'!M56</f>
        <v>0</v>
      </c>
      <c r="N48" s="19">
        <f>'Додаток 3'!N56</f>
        <v>0</v>
      </c>
      <c r="O48" s="51">
        <f>'Додаток 3'!O56</f>
        <v>0</v>
      </c>
      <c r="P48" s="52">
        <f>'Додаток 3'!P56</f>
        <v>2068200</v>
      </c>
    </row>
    <row r="49" spans="1:16" ht="84.75" customHeight="1" thickBot="1">
      <c r="A49" s="24" t="s">
        <v>55</v>
      </c>
      <c r="B49" s="152" t="s">
        <v>53</v>
      </c>
      <c r="C49" s="70" t="str">
        <f>'Додаток 3'!C57</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v>
      </c>
      <c r="D49" s="29">
        <f>'Додаток 3'!D57</f>
        <v>5.569999999999993</v>
      </c>
      <c r="E49" s="29">
        <f>'Додаток 3'!E57</f>
        <v>5.569999999999993</v>
      </c>
      <c r="F49" s="29">
        <f>'Додаток 3'!F57</f>
        <v>0</v>
      </c>
      <c r="G49" s="29">
        <f>'Додаток 3'!G57</f>
        <v>0</v>
      </c>
      <c r="H49" s="29">
        <f>'Додаток 3'!H57</f>
        <v>0</v>
      </c>
      <c r="I49" s="29">
        <f>'Додаток 3'!I57</f>
        <v>0</v>
      </c>
      <c r="J49" s="29">
        <f>'Додаток 3'!J57</f>
        <v>0</v>
      </c>
      <c r="K49" s="29">
        <f>'Додаток 3'!K57</f>
        <v>0</v>
      </c>
      <c r="L49" s="29">
        <f>'Додаток 3'!L57</f>
        <v>0</v>
      </c>
      <c r="M49" s="29">
        <f>'Додаток 3'!M57</f>
        <v>0</v>
      </c>
      <c r="N49" s="29">
        <f>'Додаток 3'!N57</f>
        <v>0</v>
      </c>
      <c r="O49" s="126">
        <f>'Додаток 3'!O57</f>
        <v>0</v>
      </c>
      <c r="P49" s="60">
        <f>'Додаток 3'!P57</f>
        <v>5.569999999999993</v>
      </c>
    </row>
    <row r="50" spans="1:16" ht="51.75" customHeight="1">
      <c r="A50" s="30"/>
      <c r="B50" s="153"/>
      <c r="C50" s="71" t="str">
        <f>'Додаток 3'!C58</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v>
      </c>
      <c r="D50" s="22">
        <f>'Додаток 3'!D58</f>
        <v>5.569999999999993</v>
      </c>
      <c r="E50" s="22">
        <f>'Додаток 3'!E58</f>
        <v>5.569999999999993</v>
      </c>
      <c r="F50" s="22">
        <f>'Додаток 3'!F58</f>
        <v>0</v>
      </c>
      <c r="G50" s="22">
        <f>'Додаток 3'!G58</f>
        <v>0</v>
      </c>
      <c r="H50" s="22">
        <f>'Додаток 3'!H58</f>
        <v>0</v>
      </c>
      <c r="I50" s="22">
        <f>'Додаток 3'!I58</f>
        <v>0</v>
      </c>
      <c r="J50" s="22">
        <f>'Додаток 3'!J58</f>
        <v>0</v>
      </c>
      <c r="K50" s="22">
        <f>'Додаток 3'!K58</f>
        <v>0</v>
      </c>
      <c r="L50" s="22">
        <f>'Додаток 3'!L58</f>
        <v>0</v>
      </c>
      <c r="M50" s="22">
        <f>'Додаток 3'!M58</f>
        <v>0</v>
      </c>
      <c r="N50" s="22">
        <f>'Додаток 3'!N58</f>
        <v>0</v>
      </c>
      <c r="O50" s="56">
        <f>'Додаток 3'!O58</f>
        <v>0</v>
      </c>
      <c r="P50" s="57">
        <f>'Додаток 3'!P58</f>
        <v>5.569999999999993</v>
      </c>
    </row>
    <row r="51" spans="1:16" ht="31.5" customHeight="1">
      <c r="A51" s="16" t="s">
        <v>56</v>
      </c>
      <c r="B51" s="139" t="s">
        <v>34</v>
      </c>
      <c r="C51" s="18" t="str">
        <f>'Додаток 3'!C59</f>
        <v>Допомога у зв"язку з вагітністю і пологами</v>
      </c>
      <c r="D51" s="19">
        <f>'Додаток 3'!D59</f>
        <v>1331185</v>
      </c>
      <c r="E51" s="19">
        <f>'Додаток 3'!E59</f>
        <v>1331185</v>
      </c>
      <c r="F51" s="19">
        <f>'Додаток 3'!F59</f>
        <v>0</v>
      </c>
      <c r="G51" s="19">
        <f>'Додаток 3'!G59</f>
        <v>0</v>
      </c>
      <c r="H51" s="19">
        <f>'Додаток 3'!H59</f>
        <v>0</v>
      </c>
      <c r="I51" s="19">
        <f>'Додаток 3'!I59</f>
        <v>0</v>
      </c>
      <c r="J51" s="19">
        <f>'Додаток 3'!J59</f>
        <v>0</v>
      </c>
      <c r="K51" s="19">
        <f>'Додаток 3'!K59</f>
        <v>0</v>
      </c>
      <c r="L51" s="19">
        <f>'Додаток 3'!L59</f>
        <v>0</v>
      </c>
      <c r="M51" s="19">
        <f>'Додаток 3'!M59</f>
        <v>0</v>
      </c>
      <c r="N51" s="19">
        <f>'Додаток 3'!N59</f>
        <v>0</v>
      </c>
      <c r="O51" s="51">
        <f>'Додаток 3'!O59</f>
        <v>0</v>
      </c>
      <c r="P51" s="52">
        <f>'Додаток 3'!P59</f>
        <v>1331185</v>
      </c>
    </row>
    <row r="52" spans="1:16" ht="66" customHeight="1">
      <c r="A52" s="16"/>
      <c r="B52" s="151"/>
      <c r="C52" s="18" t="str">
        <f>'Додаток 3'!C60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2" s="19">
        <f>'Додаток 3'!D60</f>
        <v>1331185</v>
      </c>
      <c r="E52" s="19">
        <f>'Додаток 3'!E60</f>
        <v>1331185</v>
      </c>
      <c r="F52" s="19">
        <f>'Додаток 3'!F60</f>
        <v>0</v>
      </c>
      <c r="G52" s="19">
        <f>'Додаток 3'!G60</f>
        <v>0</v>
      </c>
      <c r="H52" s="19">
        <f>'Додаток 3'!H60</f>
        <v>0</v>
      </c>
      <c r="I52" s="19">
        <f>'Додаток 3'!I60</f>
        <v>0</v>
      </c>
      <c r="J52" s="19">
        <f>'Додаток 3'!J60</f>
        <v>0</v>
      </c>
      <c r="K52" s="19">
        <f>'Додаток 3'!K60</f>
        <v>0</v>
      </c>
      <c r="L52" s="19">
        <f>'Додаток 3'!L60</f>
        <v>0</v>
      </c>
      <c r="M52" s="19">
        <f>'Додаток 3'!M60</f>
        <v>0</v>
      </c>
      <c r="N52" s="19">
        <f>'Додаток 3'!N60</f>
        <v>0</v>
      </c>
      <c r="O52" s="51">
        <f>'Додаток 3'!O60</f>
        <v>0</v>
      </c>
      <c r="P52" s="52">
        <f>'Додаток 3'!P60</f>
        <v>1331185</v>
      </c>
    </row>
    <row r="53" spans="1:16" ht="23.25" customHeight="1">
      <c r="A53" s="16" t="s">
        <v>58</v>
      </c>
      <c r="B53" s="139" t="s">
        <v>34</v>
      </c>
      <c r="C53" s="18" t="str">
        <f>'Додаток 3'!C61</f>
        <v>Допомога до досягнення дитиною трирічного віку</v>
      </c>
      <c r="D53" s="19">
        <f>'Додаток 3'!D61</f>
        <v>1404500</v>
      </c>
      <c r="E53" s="19">
        <f>'Додаток 3'!E61</f>
        <v>1404500</v>
      </c>
      <c r="F53" s="19">
        <f>'Додаток 3'!F61</f>
        <v>0</v>
      </c>
      <c r="G53" s="19">
        <f>'Додаток 3'!G61</f>
        <v>0</v>
      </c>
      <c r="H53" s="19">
        <f>'Додаток 3'!H61</f>
        <v>0</v>
      </c>
      <c r="I53" s="19">
        <f>'Додаток 3'!I61</f>
        <v>0</v>
      </c>
      <c r="J53" s="19">
        <f>'Додаток 3'!J61</f>
        <v>0</v>
      </c>
      <c r="K53" s="19">
        <f>'Додаток 3'!K61</f>
        <v>0</v>
      </c>
      <c r="L53" s="19">
        <f>'Додаток 3'!L61</f>
        <v>0</v>
      </c>
      <c r="M53" s="19">
        <f>'Додаток 3'!M61</f>
        <v>0</v>
      </c>
      <c r="N53" s="19">
        <f>'Додаток 3'!N61</f>
        <v>0</v>
      </c>
      <c r="O53" s="51">
        <f>'Додаток 3'!O61</f>
        <v>0</v>
      </c>
      <c r="P53" s="52">
        <f>'Додаток 3'!P61</f>
        <v>1404500</v>
      </c>
    </row>
    <row r="54" spans="1:16" ht="63" customHeight="1">
      <c r="A54" s="16"/>
      <c r="B54" s="151"/>
      <c r="C54" s="18" t="str">
        <f>'Додаток 3'!C62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4" s="19">
        <f>'Додаток 3'!D62</f>
        <v>1404500</v>
      </c>
      <c r="E54" s="19">
        <f>'Додаток 3'!E62</f>
        <v>1404500</v>
      </c>
      <c r="F54" s="19">
        <f>'Додаток 3'!F62</f>
        <v>0</v>
      </c>
      <c r="G54" s="19">
        <f>'Додаток 3'!G62</f>
        <v>0</v>
      </c>
      <c r="H54" s="19">
        <f>'Додаток 3'!H62</f>
        <v>0</v>
      </c>
      <c r="I54" s="19">
        <f>'Додаток 3'!I62</f>
        <v>0</v>
      </c>
      <c r="J54" s="19">
        <f>'Додаток 3'!J62</f>
        <v>0</v>
      </c>
      <c r="K54" s="19">
        <f>'Додаток 3'!K62</f>
        <v>0</v>
      </c>
      <c r="L54" s="19">
        <f>'Додаток 3'!L62</f>
        <v>0</v>
      </c>
      <c r="M54" s="19">
        <f>'Додаток 3'!M62</f>
        <v>0</v>
      </c>
      <c r="N54" s="19">
        <f>'Додаток 3'!N62</f>
        <v>0</v>
      </c>
      <c r="O54" s="51">
        <f>'Додаток 3'!O62</f>
        <v>0</v>
      </c>
      <c r="P54" s="52">
        <f>'Додаток 3'!P62</f>
        <v>1404500</v>
      </c>
    </row>
    <row r="55" spans="1:16" ht="25.5" customHeight="1">
      <c r="A55" s="16" t="s">
        <v>60</v>
      </c>
      <c r="B55" s="139" t="s">
        <v>34</v>
      </c>
      <c r="C55" s="18" t="str">
        <f>'Додаток 3'!C63</f>
        <v>Допомога при народженні дитини</v>
      </c>
      <c r="D55" s="19">
        <f>'Додаток 3'!D63</f>
        <v>62233896</v>
      </c>
      <c r="E55" s="19">
        <f>'Додаток 3'!E63</f>
        <v>62233896</v>
      </c>
      <c r="F55" s="19">
        <f>'Додаток 3'!F63</f>
        <v>0</v>
      </c>
      <c r="G55" s="19">
        <f>'Додаток 3'!G63</f>
        <v>0</v>
      </c>
      <c r="H55" s="19">
        <f>'Додаток 3'!H63</f>
        <v>0</v>
      </c>
      <c r="I55" s="19">
        <f>'Додаток 3'!I63</f>
        <v>0</v>
      </c>
      <c r="J55" s="19">
        <f>'Додаток 3'!J63</f>
        <v>0</v>
      </c>
      <c r="K55" s="19">
        <f>'Додаток 3'!K63</f>
        <v>0</v>
      </c>
      <c r="L55" s="19">
        <f>'Додаток 3'!L63</f>
        <v>0</v>
      </c>
      <c r="M55" s="19">
        <f>'Додаток 3'!M63</f>
        <v>0</v>
      </c>
      <c r="N55" s="19">
        <f>'Додаток 3'!N63</f>
        <v>0</v>
      </c>
      <c r="O55" s="51">
        <f>'Додаток 3'!O63</f>
        <v>0</v>
      </c>
      <c r="P55" s="52">
        <f>'Додаток 3'!P63</f>
        <v>62233896</v>
      </c>
    </row>
    <row r="56" spans="1:16" ht="72" customHeight="1">
      <c r="A56" s="16"/>
      <c r="B56" s="151"/>
      <c r="C56" s="18" t="str">
        <f>'Додаток 3'!C64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6" s="19">
        <f>'Додаток 3'!D64</f>
        <v>62233896</v>
      </c>
      <c r="E56" s="19">
        <f>'Додаток 3'!E64</f>
        <v>62233896</v>
      </c>
      <c r="F56" s="19">
        <f>'Додаток 3'!F64</f>
        <v>0</v>
      </c>
      <c r="G56" s="19">
        <f>'Додаток 3'!G64</f>
        <v>0</v>
      </c>
      <c r="H56" s="19">
        <f>'Додаток 3'!H64</f>
        <v>0</v>
      </c>
      <c r="I56" s="19">
        <f>'Додаток 3'!I64</f>
        <v>0</v>
      </c>
      <c r="J56" s="19">
        <f>'Додаток 3'!J64</f>
        <v>0</v>
      </c>
      <c r="K56" s="19">
        <f>'Додаток 3'!K64</f>
        <v>0</v>
      </c>
      <c r="L56" s="19">
        <f>'Додаток 3'!L64</f>
        <v>0</v>
      </c>
      <c r="M56" s="19">
        <f>'Додаток 3'!M64</f>
        <v>0</v>
      </c>
      <c r="N56" s="19">
        <f>'Додаток 3'!N64</f>
        <v>0</v>
      </c>
      <c r="O56" s="51">
        <f>'Додаток 3'!O64</f>
        <v>0</v>
      </c>
      <c r="P56" s="52">
        <f>'Додаток 3'!P64</f>
        <v>62233896</v>
      </c>
    </row>
    <row r="57" spans="1:16" ht="27.75" customHeight="1">
      <c r="A57" s="16" t="s">
        <v>62</v>
      </c>
      <c r="B57" s="139" t="s">
        <v>34</v>
      </c>
      <c r="C57" s="18" t="str">
        <f>'Додаток 3'!C65</f>
        <v>Допомога на дітей, над якими встановлено опіку чи піклування</v>
      </c>
      <c r="D57" s="19">
        <f>'Додаток 3'!D65</f>
        <v>5407400</v>
      </c>
      <c r="E57" s="19">
        <f>'Додаток 3'!E65</f>
        <v>5407400</v>
      </c>
      <c r="F57" s="19">
        <f>'Додаток 3'!F65</f>
        <v>0</v>
      </c>
      <c r="G57" s="19">
        <f>'Додаток 3'!G65</f>
        <v>0</v>
      </c>
      <c r="H57" s="19">
        <f>'Додаток 3'!H65</f>
        <v>0</v>
      </c>
      <c r="I57" s="19">
        <f>'Додаток 3'!I65</f>
        <v>0</v>
      </c>
      <c r="J57" s="19">
        <f>'Додаток 3'!J65</f>
        <v>0</v>
      </c>
      <c r="K57" s="19">
        <f>'Додаток 3'!K65</f>
        <v>0</v>
      </c>
      <c r="L57" s="19">
        <f>'Додаток 3'!L65</f>
        <v>0</v>
      </c>
      <c r="M57" s="19">
        <f>'Додаток 3'!M65</f>
        <v>0</v>
      </c>
      <c r="N57" s="19">
        <f>'Додаток 3'!N65</f>
        <v>0</v>
      </c>
      <c r="O57" s="51">
        <f>'Додаток 3'!O65</f>
        <v>0</v>
      </c>
      <c r="P57" s="52">
        <f>'Додаток 3'!P65</f>
        <v>5407400</v>
      </c>
    </row>
    <row r="58" spans="1:16" ht="66.75" customHeight="1">
      <c r="A58" s="16"/>
      <c r="B58" s="139"/>
      <c r="C58" s="18" t="str">
        <f>'Додаток 3'!C66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8" s="19">
        <f>'Додаток 3'!D66</f>
        <v>5407400</v>
      </c>
      <c r="E58" s="19">
        <f>'Додаток 3'!E66</f>
        <v>5407400</v>
      </c>
      <c r="F58" s="19">
        <f>'Додаток 3'!F66</f>
        <v>0</v>
      </c>
      <c r="G58" s="19">
        <f>'Додаток 3'!G66</f>
        <v>0</v>
      </c>
      <c r="H58" s="19">
        <f>'Додаток 3'!H66</f>
        <v>0</v>
      </c>
      <c r="I58" s="19">
        <f>'Додаток 3'!I66</f>
        <v>0</v>
      </c>
      <c r="J58" s="19">
        <f>'Додаток 3'!J66</f>
        <v>0</v>
      </c>
      <c r="K58" s="19">
        <f>'Додаток 3'!K66</f>
        <v>0</v>
      </c>
      <c r="L58" s="19">
        <f>'Додаток 3'!L66</f>
        <v>0</v>
      </c>
      <c r="M58" s="19">
        <f>'Додаток 3'!M66</f>
        <v>0</v>
      </c>
      <c r="N58" s="19">
        <f>'Додаток 3'!N66</f>
        <v>0</v>
      </c>
      <c r="O58" s="51">
        <f>'Додаток 3'!O66</f>
        <v>0</v>
      </c>
      <c r="P58" s="52">
        <f>'Додаток 3'!P66</f>
        <v>5407400</v>
      </c>
    </row>
    <row r="59" spans="1:16" ht="23.25" customHeight="1">
      <c r="A59" s="16" t="s">
        <v>64</v>
      </c>
      <c r="B59" s="139" t="s">
        <v>34</v>
      </c>
      <c r="C59" s="68" t="str">
        <f>'Додаток 3'!C67</f>
        <v>Допомога на дітей одиноким матерям</v>
      </c>
      <c r="D59" s="19">
        <f>'Додаток 3'!D67</f>
        <v>14659960</v>
      </c>
      <c r="E59" s="19">
        <f>'Додаток 3'!E67</f>
        <v>14659960</v>
      </c>
      <c r="F59" s="19">
        <f>'Додаток 3'!F67</f>
        <v>0</v>
      </c>
      <c r="G59" s="19">
        <f>'Додаток 3'!G67</f>
        <v>0</v>
      </c>
      <c r="H59" s="19">
        <f>'Додаток 3'!H67</f>
        <v>0</v>
      </c>
      <c r="I59" s="19">
        <f>'Додаток 3'!I67</f>
        <v>0</v>
      </c>
      <c r="J59" s="19">
        <f>'Додаток 3'!J67</f>
        <v>0</v>
      </c>
      <c r="K59" s="19">
        <f>'Додаток 3'!K67</f>
        <v>0</v>
      </c>
      <c r="L59" s="19">
        <f>'Додаток 3'!L67</f>
        <v>0</v>
      </c>
      <c r="M59" s="19">
        <f>'Додаток 3'!M67</f>
        <v>0</v>
      </c>
      <c r="N59" s="19">
        <f>'Додаток 3'!N67</f>
        <v>0</v>
      </c>
      <c r="O59" s="51">
        <f>'Додаток 3'!O67</f>
        <v>0</v>
      </c>
      <c r="P59" s="52">
        <f>'Додаток 3'!P67</f>
        <v>14659960</v>
      </c>
    </row>
    <row r="60" spans="1:16" ht="68.25" customHeight="1">
      <c r="A60" s="16"/>
      <c r="B60" s="139"/>
      <c r="C60" s="18" t="str">
        <f>'Додаток 3'!C68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0" s="19">
        <f>'Додаток 3'!D68</f>
        <v>14659960</v>
      </c>
      <c r="E60" s="19">
        <f>'Додаток 3'!E68</f>
        <v>14659960</v>
      </c>
      <c r="F60" s="19">
        <f>'Додаток 3'!F68</f>
        <v>0</v>
      </c>
      <c r="G60" s="19">
        <f>'Додаток 3'!G68</f>
        <v>0</v>
      </c>
      <c r="H60" s="19">
        <f>'Додаток 3'!H68</f>
        <v>0</v>
      </c>
      <c r="I60" s="19">
        <f>'Додаток 3'!I68</f>
        <v>0</v>
      </c>
      <c r="J60" s="19">
        <f>'Додаток 3'!J68</f>
        <v>0</v>
      </c>
      <c r="K60" s="19">
        <f>'Додаток 3'!K68</f>
        <v>0</v>
      </c>
      <c r="L60" s="19">
        <f>'Додаток 3'!L68</f>
        <v>0</v>
      </c>
      <c r="M60" s="19">
        <f>'Додаток 3'!M68</f>
        <v>0</v>
      </c>
      <c r="N60" s="19">
        <f>'Додаток 3'!N68</f>
        <v>0</v>
      </c>
      <c r="O60" s="51">
        <f>'Додаток 3'!O68</f>
        <v>0</v>
      </c>
      <c r="P60" s="52">
        <f>'Додаток 3'!P68</f>
        <v>14659960</v>
      </c>
    </row>
    <row r="61" spans="1:16" ht="26.25" customHeight="1">
      <c r="A61" s="16" t="s">
        <v>66</v>
      </c>
      <c r="B61" s="139" t="s">
        <v>34</v>
      </c>
      <c r="C61" s="18" t="str">
        <f>'Додаток 3'!C69</f>
        <v>Тимчасова державна допомога дітям</v>
      </c>
      <c r="D61" s="19">
        <f>'Додаток 3'!D69</f>
        <v>1229200</v>
      </c>
      <c r="E61" s="19">
        <f>'Додаток 3'!E69</f>
        <v>1229200</v>
      </c>
      <c r="F61" s="19">
        <f>'Додаток 3'!F69</f>
        <v>0</v>
      </c>
      <c r="G61" s="19">
        <f>'Додаток 3'!G69</f>
        <v>0</v>
      </c>
      <c r="H61" s="19">
        <f>'Додаток 3'!H69</f>
        <v>0</v>
      </c>
      <c r="I61" s="19">
        <f>'Додаток 3'!I69</f>
        <v>0</v>
      </c>
      <c r="J61" s="19">
        <f>'Додаток 3'!J69</f>
        <v>0</v>
      </c>
      <c r="K61" s="19">
        <f>'Додаток 3'!K69</f>
        <v>0</v>
      </c>
      <c r="L61" s="19">
        <f>'Додаток 3'!L69</f>
        <v>0</v>
      </c>
      <c r="M61" s="19">
        <f>'Додаток 3'!M69</f>
        <v>0</v>
      </c>
      <c r="N61" s="19">
        <f>'Додаток 3'!N69</f>
        <v>0</v>
      </c>
      <c r="O61" s="51">
        <f>'Додаток 3'!O69</f>
        <v>0</v>
      </c>
      <c r="P61" s="52">
        <f>'Додаток 3'!P69</f>
        <v>1229200</v>
      </c>
    </row>
    <row r="62" spans="1:16" ht="63.75" customHeight="1">
      <c r="A62" s="16"/>
      <c r="B62" s="151"/>
      <c r="C62" s="18" t="str">
        <f>'Додаток 3'!C70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2" s="19">
        <f>'Додаток 3'!D70</f>
        <v>1229200</v>
      </c>
      <c r="E62" s="19">
        <f>'Додаток 3'!E70</f>
        <v>1229200</v>
      </c>
      <c r="F62" s="19">
        <f>'Додаток 3'!F70</f>
        <v>0</v>
      </c>
      <c r="G62" s="19">
        <f>'Додаток 3'!G70</f>
        <v>0</v>
      </c>
      <c r="H62" s="19">
        <f>'Додаток 3'!H70</f>
        <v>0</v>
      </c>
      <c r="I62" s="19">
        <f>'Додаток 3'!I70</f>
        <v>0</v>
      </c>
      <c r="J62" s="19">
        <f>'Додаток 3'!J70</f>
        <v>0</v>
      </c>
      <c r="K62" s="19">
        <f>'Додаток 3'!K70</f>
        <v>0</v>
      </c>
      <c r="L62" s="19">
        <f>'Додаток 3'!L70</f>
        <v>0</v>
      </c>
      <c r="M62" s="19">
        <f>'Додаток 3'!M70</f>
        <v>0</v>
      </c>
      <c r="N62" s="19">
        <f>'Додаток 3'!N70</f>
        <v>0</v>
      </c>
      <c r="O62" s="51">
        <f>'Додаток 3'!O70</f>
        <v>0</v>
      </c>
      <c r="P62" s="52">
        <f>'Додаток 3'!P70</f>
        <v>1229200</v>
      </c>
    </row>
    <row r="63" spans="1:16" ht="26.25" customHeight="1">
      <c r="A63" s="16" t="s">
        <v>68</v>
      </c>
      <c r="B63" s="139" t="s">
        <v>34</v>
      </c>
      <c r="C63" s="18" t="str">
        <f>'Додаток 3'!C71</f>
        <v>Допомога при усиновленні дитини</v>
      </c>
      <c r="D63" s="19">
        <f>'Додаток 3'!D71</f>
        <v>226600</v>
      </c>
      <c r="E63" s="19">
        <f>'Додаток 3'!E71</f>
        <v>226600</v>
      </c>
      <c r="F63" s="19">
        <f>'Додаток 3'!F71</f>
        <v>0</v>
      </c>
      <c r="G63" s="19">
        <f>'Додаток 3'!G71</f>
        <v>0</v>
      </c>
      <c r="H63" s="19">
        <f>'Додаток 3'!H71</f>
        <v>0</v>
      </c>
      <c r="I63" s="19">
        <f>'Додаток 3'!I71</f>
        <v>0</v>
      </c>
      <c r="J63" s="19">
        <f>'Додаток 3'!J71</f>
        <v>0</v>
      </c>
      <c r="K63" s="19">
        <f>'Додаток 3'!K71</f>
        <v>0</v>
      </c>
      <c r="L63" s="19">
        <f>'Додаток 3'!L71</f>
        <v>0</v>
      </c>
      <c r="M63" s="19">
        <f>'Додаток 3'!M71</f>
        <v>0</v>
      </c>
      <c r="N63" s="19">
        <f>'Додаток 3'!N71</f>
        <v>0</v>
      </c>
      <c r="O63" s="51">
        <f>'Додаток 3'!O71</f>
        <v>0</v>
      </c>
      <c r="P63" s="52">
        <f>'Додаток 3'!P71</f>
        <v>226600</v>
      </c>
    </row>
    <row r="64" spans="1:16" ht="69" customHeight="1">
      <c r="A64" s="16"/>
      <c r="B64" s="151"/>
      <c r="C64" s="18" t="str">
        <f>'Додаток 3'!C72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4" s="19">
        <f>'Додаток 3'!D72</f>
        <v>226600</v>
      </c>
      <c r="E64" s="19">
        <f>'Додаток 3'!E72</f>
        <v>226600</v>
      </c>
      <c r="F64" s="19">
        <f>'Додаток 3'!F72</f>
        <v>0</v>
      </c>
      <c r="G64" s="19">
        <f>'Додаток 3'!G72</f>
        <v>0</v>
      </c>
      <c r="H64" s="19">
        <f>'Додаток 3'!H72</f>
        <v>0</v>
      </c>
      <c r="I64" s="19">
        <f>'Додаток 3'!I72</f>
        <v>0</v>
      </c>
      <c r="J64" s="19">
        <f>'Додаток 3'!J72</f>
        <v>0</v>
      </c>
      <c r="K64" s="19">
        <f>'Додаток 3'!K72</f>
        <v>0</v>
      </c>
      <c r="L64" s="19">
        <f>'Додаток 3'!L72</f>
        <v>0</v>
      </c>
      <c r="M64" s="19">
        <f>'Додаток 3'!M72</f>
        <v>0</v>
      </c>
      <c r="N64" s="19">
        <f>'Додаток 3'!N72</f>
        <v>0</v>
      </c>
      <c r="O64" s="51">
        <f>'Додаток 3'!O72</f>
        <v>0</v>
      </c>
      <c r="P64" s="52">
        <f>'Додаток 3'!P72</f>
        <v>226600</v>
      </c>
    </row>
    <row r="65" spans="1:16" ht="27" customHeight="1">
      <c r="A65" s="16" t="s">
        <v>70</v>
      </c>
      <c r="B65" s="139" t="s">
        <v>34</v>
      </c>
      <c r="C65" s="18" t="str">
        <f>'Додаток 3'!C73</f>
        <v>Державна соціальна допомога малозабезпеченим сім’ям</v>
      </c>
      <c r="D65" s="19">
        <f>'Додаток 3'!D73</f>
        <v>9836514</v>
      </c>
      <c r="E65" s="19">
        <f>'Додаток 3'!E73</f>
        <v>9836514</v>
      </c>
      <c r="F65" s="19">
        <f>'Додаток 3'!F73</f>
        <v>0</v>
      </c>
      <c r="G65" s="19">
        <f>'Додаток 3'!G73</f>
        <v>0</v>
      </c>
      <c r="H65" s="19">
        <f>'Додаток 3'!H73</f>
        <v>0</v>
      </c>
      <c r="I65" s="19">
        <f>'Додаток 3'!I73</f>
        <v>0</v>
      </c>
      <c r="J65" s="19">
        <f>'Додаток 3'!J73</f>
        <v>0</v>
      </c>
      <c r="K65" s="19">
        <f>'Додаток 3'!K73</f>
        <v>0</v>
      </c>
      <c r="L65" s="19">
        <f>'Додаток 3'!L73</f>
        <v>0</v>
      </c>
      <c r="M65" s="19">
        <f>'Додаток 3'!M73</f>
        <v>0</v>
      </c>
      <c r="N65" s="19">
        <f>'Додаток 3'!N73</f>
        <v>0</v>
      </c>
      <c r="O65" s="51">
        <f>'Додаток 3'!O73</f>
        <v>0</v>
      </c>
      <c r="P65" s="52">
        <f>'Додаток 3'!P73</f>
        <v>9836514</v>
      </c>
    </row>
    <row r="66" spans="1:16" ht="63.75" customHeight="1">
      <c r="A66" s="16"/>
      <c r="B66" s="151"/>
      <c r="C66" s="18" t="str">
        <f>'Додаток 3'!C74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6" s="19">
        <f>'Додаток 3'!D74</f>
        <v>9836514</v>
      </c>
      <c r="E66" s="19">
        <f>'Додаток 3'!E74</f>
        <v>9836514</v>
      </c>
      <c r="F66" s="19">
        <f>'Додаток 3'!F74</f>
        <v>0</v>
      </c>
      <c r="G66" s="19">
        <f>'Додаток 3'!G74</f>
        <v>0</v>
      </c>
      <c r="H66" s="19">
        <f>'Додаток 3'!H74</f>
        <v>0</v>
      </c>
      <c r="I66" s="19">
        <f>'Додаток 3'!I74</f>
        <v>0</v>
      </c>
      <c r="J66" s="19">
        <f>'Додаток 3'!J74</f>
        <v>0</v>
      </c>
      <c r="K66" s="19">
        <f>'Додаток 3'!K74</f>
        <v>0</v>
      </c>
      <c r="L66" s="19">
        <f>'Додаток 3'!L74</f>
        <v>0</v>
      </c>
      <c r="M66" s="19">
        <f>'Додаток 3'!M74</f>
        <v>0</v>
      </c>
      <c r="N66" s="19">
        <f>'Додаток 3'!N74</f>
        <v>0</v>
      </c>
      <c r="O66" s="51">
        <f>'Додаток 3'!O74</f>
        <v>0</v>
      </c>
      <c r="P66" s="52">
        <f>'Додаток 3'!P74</f>
        <v>9836514</v>
      </c>
    </row>
    <row r="67" spans="1:16" ht="39" customHeight="1">
      <c r="A67" s="16" t="s">
        <v>72</v>
      </c>
      <c r="B67" s="139" t="s">
        <v>73</v>
      </c>
      <c r="C67" s="18" t="str">
        <f>'Додаток 3'!C75</f>
        <v>Субсидії  населенню для відшкодування витрат на оплату житлово-комунальних послуг</v>
      </c>
      <c r="D67" s="19">
        <f>'Додаток 3'!D75</f>
        <v>41893549.68</v>
      </c>
      <c r="E67" s="19">
        <f>'Додаток 3'!E75</f>
        <v>41893549.68</v>
      </c>
      <c r="F67" s="19">
        <f>'Додаток 3'!F75</f>
        <v>0</v>
      </c>
      <c r="G67" s="19">
        <f>'Додаток 3'!G75</f>
        <v>0</v>
      </c>
      <c r="H67" s="19">
        <f>'Додаток 3'!H75</f>
        <v>0</v>
      </c>
      <c r="I67" s="19">
        <f>'Додаток 3'!I75</f>
        <v>0</v>
      </c>
      <c r="J67" s="19">
        <f>'Додаток 3'!J75</f>
        <v>0</v>
      </c>
      <c r="K67" s="19">
        <f>'Додаток 3'!K75</f>
        <v>0</v>
      </c>
      <c r="L67" s="19">
        <f>'Додаток 3'!L75</f>
        <v>0</v>
      </c>
      <c r="M67" s="19">
        <f>'Додаток 3'!M75</f>
        <v>0</v>
      </c>
      <c r="N67" s="19">
        <f>'Додаток 3'!N75</f>
        <v>0</v>
      </c>
      <c r="O67" s="51">
        <f>'Додаток 3'!O75</f>
        <v>0</v>
      </c>
      <c r="P67" s="52">
        <f>'Додаток 3'!P75</f>
        <v>41893549.68</v>
      </c>
    </row>
    <row r="68" spans="1:16" ht="80.25" customHeight="1">
      <c r="A68" s="16"/>
      <c r="B68" s="151"/>
      <c r="C68" s="18" t="str">
        <f>'Додаток 3'!C76</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68" s="19">
        <f>'Додаток 3'!D76</f>
        <v>41893549.68</v>
      </c>
      <c r="E68" s="19">
        <f>'Додаток 3'!E76</f>
        <v>41893549.68</v>
      </c>
      <c r="F68" s="19">
        <f>'Додаток 3'!F76</f>
        <v>0</v>
      </c>
      <c r="G68" s="19">
        <f>'Додаток 3'!G76</f>
        <v>0</v>
      </c>
      <c r="H68" s="19">
        <f>'Додаток 3'!H76</f>
        <v>0</v>
      </c>
      <c r="I68" s="19">
        <f>'Додаток 3'!I76</f>
        <v>0</v>
      </c>
      <c r="J68" s="19">
        <f>'Додаток 3'!J76</f>
        <v>0</v>
      </c>
      <c r="K68" s="19">
        <f>'Додаток 3'!K76</f>
        <v>0</v>
      </c>
      <c r="L68" s="19">
        <f>'Додаток 3'!L76</f>
        <v>0</v>
      </c>
      <c r="M68" s="19">
        <f>'Додаток 3'!M76</f>
        <v>0</v>
      </c>
      <c r="N68" s="19">
        <f>'Додаток 3'!N76</f>
        <v>0</v>
      </c>
      <c r="O68" s="51">
        <f>'Додаток 3'!O76</f>
        <v>0</v>
      </c>
      <c r="P68" s="52">
        <f>'Додаток 3'!P76</f>
        <v>41893549.68</v>
      </c>
    </row>
    <row r="69" spans="1:16" ht="39.75" customHeight="1">
      <c r="A69" s="16" t="s">
        <v>75</v>
      </c>
      <c r="B69" s="139" t="s">
        <v>73</v>
      </c>
      <c r="C69" s="18" t="str">
        <f>'Додаток 3'!C77</f>
        <v>Субсидії населенню для відшкодування витрат на придбання твердого та рідкого пічного побутового палива і скрапленого газу</v>
      </c>
      <c r="D69" s="19">
        <f>'Додаток 3'!D77</f>
        <v>10011.119999999999</v>
      </c>
      <c r="E69" s="19">
        <f>'Додаток 3'!E77</f>
        <v>10011.119999999999</v>
      </c>
      <c r="F69" s="19">
        <f>'Додаток 3'!F77</f>
        <v>0</v>
      </c>
      <c r="G69" s="19">
        <f>'Додаток 3'!G77</f>
        <v>0</v>
      </c>
      <c r="H69" s="19">
        <f>'Додаток 3'!H77</f>
        <v>0</v>
      </c>
      <c r="I69" s="19">
        <f>'Додаток 3'!I77</f>
        <v>0</v>
      </c>
      <c r="J69" s="19">
        <f>'Додаток 3'!J77</f>
        <v>0</v>
      </c>
      <c r="K69" s="19">
        <f>'Додаток 3'!K77</f>
        <v>0</v>
      </c>
      <c r="L69" s="19">
        <f>'Додаток 3'!L77</f>
        <v>0</v>
      </c>
      <c r="M69" s="19">
        <f>'Додаток 3'!M77</f>
        <v>0</v>
      </c>
      <c r="N69" s="19">
        <f>'Додаток 3'!N77</f>
        <v>0</v>
      </c>
      <c r="O69" s="51">
        <f>'Додаток 3'!O77</f>
        <v>0</v>
      </c>
      <c r="P69" s="52">
        <f>'Додаток 3'!P77</f>
        <v>10011.119999999999</v>
      </c>
    </row>
    <row r="70" spans="1:16" ht="51" customHeight="1" thickBot="1">
      <c r="A70" s="24"/>
      <c r="B70" s="154"/>
      <c r="C70" s="72" t="str">
        <f>'Додаток 3'!C78</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70" s="29">
        <f>'Додаток 3'!D78</f>
        <v>10011.119999999999</v>
      </c>
      <c r="E70" s="29">
        <f>'Додаток 3'!E78</f>
        <v>10011.119999999999</v>
      </c>
      <c r="F70" s="29">
        <f>'Додаток 3'!F78</f>
        <v>0</v>
      </c>
      <c r="G70" s="29">
        <f>'Додаток 3'!G78</f>
        <v>0</v>
      </c>
      <c r="H70" s="29">
        <f>'Додаток 3'!H78</f>
        <v>0</v>
      </c>
      <c r="I70" s="29">
        <f>'Додаток 3'!I78</f>
        <v>0</v>
      </c>
      <c r="J70" s="29">
        <f>'Додаток 3'!J78</f>
        <v>0</v>
      </c>
      <c r="K70" s="29">
        <f>'Додаток 3'!K78</f>
        <v>0</v>
      </c>
      <c r="L70" s="29">
        <f>'Додаток 3'!L78</f>
        <v>0</v>
      </c>
      <c r="M70" s="29">
        <f>'Додаток 3'!M78</f>
        <v>0</v>
      </c>
      <c r="N70" s="29">
        <f>'Додаток 3'!N78</f>
        <v>0</v>
      </c>
      <c r="O70" s="126">
        <f>'Додаток 3'!O78</f>
        <v>0</v>
      </c>
      <c r="P70" s="60">
        <f>'Додаток 3'!P78</f>
        <v>10011.119999999999</v>
      </c>
    </row>
    <row r="71" spans="1:16" ht="28.5" customHeight="1">
      <c r="A71" s="293" t="s">
        <v>77</v>
      </c>
      <c r="B71" s="139" t="s">
        <v>78</v>
      </c>
      <c r="C71" s="18" t="str">
        <f>'Додаток 3'!C79</f>
        <v>Інші видатки на соціальний захист населення</v>
      </c>
      <c r="D71" s="19">
        <f>'Додаток 3'!D79</f>
        <v>1907712</v>
      </c>
      <c r="E71" s="19">
        <f>'Додаток 3'!E79</f>
        <v>1907712</v>
      </c>
      <c r="F71" s="19">
        <f>'Додаток 3'!F79</f>
        <v>0</v>
      </c>
      <c r="G71" s="19">
        <f>'Додаток 3'!G79</f>
        <v>0</v>
      </c>
      <c r="H71" s="19">
        <f>'Додаток 3'!H79</f>
        <v>0</v>
      </c>
      <c r="I71" s="19">
        <f>'Додаток 3'!I79</f>
        <v>0</v>
      </c>
      <c r="J71" s="19">
        <f>'Додаток 3'!J79</f>
        <v>0</v>
      </c>
      <c r="K71" s="19">
        <f>'Додаток 3'!K79</f>
        <v>0</v>
      </c>
      <c r="L71" s="19">
        <f>'Додаток 3'!L79</f>
        <v>0</v>
      </c>
      <c r="M71" s="19">
        <f>'Додаток 3'!M79</f>
        <v>0</v>
      </c>
      <c r="N71" s="19">
        <f>'Додаток 3'!N79</f>
        <v>0</v>
      </c>
      <c r="O71" s="51">
        <f>'Додаток 3'!O79</f>
        <v>0</v>
      </c>
      <c r="P71" s="52">
        <f>'Додаток 3'!P79</f>
        <v>1907712</v>
      </c>
    </row>
    <row r="72" spans="1:16" ht="22.5" customHeight="1">
      <c r="A72" s="293"/>
      <c r="B72" s="151"/>
      <c r="C72" s="18" t="str">
        <f>'Додаток 3'!C80</f>
        <v>в тому числі за рахунок субвенції з міського бюджету:</v>
      </c>
      <c r="D72" s="19">
        <f>'Додаток 3'!D80</f>
        <v>1397500</v>
      </c>
      <c r="E72" s="19">
        <f>'Додаток 3'!E80</f>
        <v>1397500</v>
      </c>
      <c r="F72" s="19">
        <f>'Додаток 3'!F80</f>
        <v>0</v>
      </c>
      <c r="G72" s="19">
        <f>'Додаток 3'!G80</f>
        <v>0</v>
      </c>
      <c r="H72" s="19">
        <f>'Додаток 3'!H80</f>
        <v>0</v>
      </c>
      <c r="I72" s="19">
        <f>'Додаток 3'!I80</f>
        <v>0</v>
      </c>
      <c r="J72" s="19">
        <f>'Додаток 3'!J80</f>
        <v>0</v>
      </c>
      <c r="K72" s="19">
        <f>'Додаток 3'!K80</f>
        <v>0</v>
      </c>
      <c r="L72" s="19">
        <f>'Додаток 3'!L80</f>
        <v>0</v>
      </c>
      <c r="M72" s="19">
        <f>'Додаток 3'!M80</f>
        <v>0</v>
      </c>
      <c r="N72" s="19">
        <f>'Додаток 3'!N80</f>
        <v>0</v>
      </c>
      <c r="O72" s="51">
        <f>'Додаток 3'!O80</f>
        <v>0</v>
      </c>
      <c r="P72" s="52">
        <f>'Додаток 3'!P80</f>
        <v>1397500</v>
      </c>
    </row>
    <row r="73" spans="1:16" ht="26.25" customHeight="1">
      <c r="A73" s="299" t="s">
        <v>80</v>
      </c>
      <c r="B73" s="139" t="s">
        <v>81</v>
      </c>
      <c r="C73" s="18" t="str">
        <f>'Додаток 3'!C81</f>
        <v>Допомога на догляд за інвалідом I-II групи внаслідок психічного розладу</v>
      </c>
      <c r="D73" s="19">
        <f>'Додаток 3'!D81</f>
        <v>3324020</v>
      </c>
      <c r="E73" s="19">
        <f>'Додаток 3'!E81</f>
        <v>3324020</v>
      </c>
      <c r="F73" s="19">
        <f>'Додаток 3'!F81</f>
        <v>0</v>
      </c>
      <c r="G73" s="19">
        <f>'Додаток 3'!G81</f>
        <v>0</v>
      </c>
      <c r="H73" s="19">
        <f>'Додаток 3'!H81</f>
        <v>0</v>
      </c>
      <c r="I73" s="19">
        <f>'Додаток 3'!I81</f>
        <v>0</v>
      </c>
      <c r="J73" s="19">
        <f>'Додаток 3'!J81</f>
        <v>0</v>
      </c>
      <c r="K73" s="19">
        <f>'Додаток 3'!K81</f>
        <v>0</v>
      </c>
      <c r="L73" s="19">
        <f>'Додаток 3'!L81</f>
        <v>0</v>
      </c>
      <c r="M73" s="19">
        <f>'Додаток 3'!M81</f>
        <v>0</v>
      </c>
      <c r="N73" s="19">
        <f>'Додаток 3'!N81</f>
        <v>0</v>
      </c>
      <c r="O73" s="51">
        <f>'Додаток 3'!O81</f>
        <v>0</v>
      </c>
      <c r="P73" s="52">
        <f>'Додаток 3'!P81</f>
        <v>3324020</v>
      </c>
    </row>
    <row r="74" spans="1:16" ht="64.5" customHeight="1">
      <c r="A74" s="312"/>
      <c r="B74" s="151"/>
      <c r="C74" s="18" t="str">
        <f>'Додаток 3'!C82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74" s="19">
        <f>'Додаток 3'!D82</f>
        <v>3324020</v>
      </c>
      <c r="E74" s="19">
        <f>'Додаток 3'!E82</f>
        <v>3324020</v>
      </c>
      <c r="F74" s="19">
        <f>'Додаток 3'!F82</f>
        <v>0</v>
      </c>
      <c r="G74" s="19">
        <f>'Додаток 3'!G82</f>
        <v>0</v>
      </c>
      <c r="H74" s="19">
        <f>'Додаток 3'!H82</f>
        <v>0</v>
      </c>
      <c r="I74" s="19">
        <f>'Додаток 3'!I82</f>
        <v>0</v>
      </c>
      <c r="J74" s="19">
        <f>'Додаток 3'!J82</f>
        <v>0</v>
      </c>
      <c r="K74" s="19">
        <f>'Додаток 3'!K82</f>
        <v>0</v>
      </c>
      <c r="L74" s="19">
        <f>'Додаток 3'!L82</f>
        <v>0</v>
      </c>
      <c r="M74" s="19">
        <f>'Додаток 3'!M82</f>
        <v>0</v>
      </c>
      <c r="N74" s="19">
        <f>'Додаток 3'!N82</f>
        <v>0</v>
      </c>
      <c r="O74" s="51">
        <f>'Додаток 3'!O82</f>
        <v>0</v>
      </c>
      <c r="P74" s="52">
        <f>'Додаток 3'!P82</f>
        <v>3324020</v>
      </c>
    </row>
    <row r="75" spans="1:16" ht="22.5" customHeight="1">
      <c r="A75" s="299" t="s">
        <v>83</v>
      </c>
      <c r="B75" s="139" t="s">
        <v>84</v>
      </c>
      <c r="C75" s="18" t="str">
        <f>'Додаток 3'!C83</f>
        <v>Організація та проведення громадських робіт</v>
      </c>
      <c r="D75" s="19">
        <f>'Додаток 3'!D83</f>
        <v>106296</v>
      </c>
      <c r="E75" s="19">
        <f>'Додаток 3'!E83</f>
        <v>106296</v>
      </c>
      <c r="F75" s="19">
        <f>'Додаток 3'!F84</f>
        <v>87127.5</v>
      </c>
      <c r="G75" s="19">
        <f>'Додаток 3'!G83</f>
        <v>0</v>
      </c>
      <c r="H75" s="19">
        <f>'Додаток 3'!H83</f>
        <v>0</v>
      </c>
      <c r="I75" s="19">
        <f>'Додаток 3'!I83</f>
        <v>0</v>
      </c>
      <c r="J75" s="19">
        <f>'Додаток 3'!J83</f>
        <v>0</v>
      </c>
      <c r="K75" s="19">
        <f>'Додаток 3'!K83</f>
        <v>0</v>
      </c>
      <c r="L75" s="19">
        <f>'Додаток 3'!L83</f>
        <v>0</v>
      </c>
      <c r="M75" s="19">
        <f>'Додаток 3'!M83</f>
        <v>0</v>
      </c>
      <c r="N75" s="19">
        <f>'Додаток 3'!N83</f>
        <v>0</v>
      </c>
      <c r="O75" s="51">
        <f>'Додаток 3'!O83</f>
        <v>0</v>
      </c>
      <c r="P75" s="52">
        <f>'Додаток 3'!P83</f>
        <v>106296</v>
      </c>
    </row>
    <row r="76" spans="1:16" ht="23.25" customHeight="1">
      <c r="A76" s="312"/>
      <c r="B76" s="139"/>
      <c r="C76" s="18" t="str">
        <f>'Додаток 3'!C84</f>
        <v>в тому числі субвенція з міського бюджету</v>
      </c>
      <c r="D76" s="19">
        <f>'Додаток 3'!D84</f>
        <v>106296</v>
      </c>
      <c r="E76" s="19">
        <f>'Додаток 3'!E84</f>
        <v>106296</v>
      </c>
      <c r="F76" s="19">
        <f>'Додаток 3'!F84</f>
        <v>87127.5</v>
      </c>
      <c r="G76" s="19">
        <f>'Додаток 3'!G84</f>
        <v>0</v>
      </c>
      <c r="H76" s="19">
        <f>'Додаток 3'!H84</f>
        <v>0</v>
      </c>
      <c r="I76" s="19">
        <f>'Додаток 3'!I84</f>
        <v>0</v>
      </c>
      <c r="J76" s="19">
        <f>'Додаток 3'!J84</f>
        <v>0</v>
      </c>
      <c r="K76" s="19">
        <f>'Додаток 3'!K84</f>
        <v>0</v>
      </c>
      <c r="L76" s="19">
        <f>'Додаток 3'!L84</f>
        <v>0</v>
      </c>
      <c r="M76" s="19">
        <f>'Додаток 3'!M84</f>
        <v>0</v>
      </c>
      <c r="N76" s="19">
        <f>'Додаток 3'!N84</f>
        <v>0</v>
      </c>
      <c r="O76" s="51">
        <f>'Додаток 3'!O84</f>
        <v>0</v>
      </c>
      <c r="P76" s="52">
        <f>'Додаток 3'!P84</f>
        <v>106296</v>
      </c>
    </row>
    <row r="77" spans="1:16" ht="26.25" customHeight="1">
      <c r="A77" s="221" t="s">
        <v>171</v>
      </c>
      <c r="B77" s="139" t="s">
        <v>34</v>
      </c>
      <c r="C77" s="18" t="s">
        <v>172</v>
      </c>
      <c r="D77" s="19">
        <f>'Додаток 3'!D130</f>
        <v>43600</v>
      </c>
      <c r="E77" s="19">
        <f>'Додаток 3'!E130</f>
        <v>43600</v>
      </c>
      <c r="F77" s="19">
        <f>'Додаток 3'!F130</f>
        <v>0</v>
      </c>
      <c r="G77" s="19">
        <f>'Додаток 3'!G130</f>
        <v>0</v>
      </c>
      <c r="H77" s="19">
        <f>'Додаток 3'!H130</f>
        <v>0</v>
      </c>
      <c r="I77" s="19">
        <f>'Додаток 3'!I130</f>
        <v>0</v>
      </c>
      <c r="J77" s="19">
        <f>'Додаток 3'!J130</f>
        <v>0</v>
      </c>
      <c r="K77" s="19">
        <f>'Додаток 3'!K130</f>
        <v>0</v>
      </c>
      <c r="L77" s="19">
        <f>'Додаток 3'!L130</f>
        <v>0</v>
      </c>
      <c r="M77" s="19">
        <f>'Додаток 3'!M130</f>
        <v>0</v>
      </c>
      <c r="N77" s="19">
        <f>'Додаток 3'!N130</f>
        <v>0</v>
      </c>
      <c r="O77" s="51">
        <f>'Додаток 3'!O130</f>
        <v>0</v>
      </c>
      <c r="P77" s="52">
        <f>'Додаток 3'!P130</f>
        <v>43600</v>
      </c>
    </row>
    <row r="78" spans="1:16" ht="29.25" customHeight="1">
      <c r="A78" s="16" t="s">
        <v>33</v>
      </c>
      <c r="B78" s="139" t="s">
        <v>34</v>
      </c>
      <c r="C78" s="18" t="str">
        <f>'Додаток 3'!C20</f>
        <v>Утримання центру соціальних служб для сім"ї, дітей та молоді </v>
      </c>
      <c r="D78" s="19">
        <f>'Додаток 3'!D20</f>
        <v>903202</v>
      </c>
      <c r="E78" s="19">
        <f>'Додаток 3'!E20</f>
        <v>903202</v>
      </c>
      <c r="F78" s="19">
        <f>'Додаток 3'!F20</f>
        <v>674307</v>
      </c>
      <c r="G78" s="19">
        <f>'Додаток 3'!G20</f>
        <v>51802</v>
      </c>
      <c r="H78" s="19">
        <f>'Додаток 3'!H20</f>
        <v>0</v>
      </c>
      <c r="I78" s="19">
        <f>'Додаток 3'!I20</f>
        <v>0</v>
      </c>
      <c r="J78" s="19">
        <f>'Додаток 3'!J20</f>
        <v>0</v>
      </c>
      <c r="K78" s="19">
        <f>'Додаток 3'!K20</f>
        <v>0</v>
      </c>
      <c r="L78" s="19">
        <f>'Додаток 3'!L20</f>
        <v>0</v>
      </c>
      <c r="M78" s="19">
        <f>'Додаток 3'!M20</f>
        <v>0</v>
      </c>
      <c r="N78" s="19">
        <f>'Додаток 3'!N20</f>
        <v>0</v>
      </c>
      <c r="O78" s="51">
        <f>'Додаток 3'!O20</f>
        <v>0</v>
      </c>
      <c r="P78" s="52">
        <f>'Додаток 3'!P20</f>
        <v>903202</v>
      </c>
    </row>
    <row r="79" spans="1:16" ht="25.5" customHeight="1">
      <c r="A79" s="27" t="s">
        <v>162</v>
      </c>
      <c r="B79" s="136" t="s">
        <v>34</v>
      </c>
      <c r="C79" s="155" t="s">
        <v>163</v>
      </c>
      <c r="D79" s="19">
        <f>'Додаток 3'!D21</f>
        <v>11200</v>
      </c>
      <c r="E79" s="19">
        <f>'Додаток 3'!E21</f>
        <v>11200</v>
      </c>
      <c r="F79" s="19">
        <f>'Додаток 3'!F21</f>
        <v>0</v>
      </c>
      <c r="G79" s="19">
        <f>'Додаток 3'!G21</f>
        <v>0</v>
      </c>
      <c r="H79" s="19">
        <f>'Додаток 3'!H21</f>
        <v>0</v>
      </c>
      <c r="I79" s="19">
        <f>'Додаток 3'!I21</f>
        <v>0</v>
      </c>
      <c r="J79" s="19">
        <f>'Додаток 3'!J21</f>
        <v>0</v>
      </c>
      <c r="K79" s="19">
        <f>'Додаток 3'!K21</f>
        <v>0</v>
      </c>
      <c r="L79" s="19">
        <f>'Додаток 3'!L21</f>
        <v>0</v>
      </c>
      <c r="M79" s="19">
        <f>'Додаток 3'!M21</f>
        <v>0</v>
      </c>
      <c r="N79" s="19">
        <f>'Додаток 3'!N21</f>
        <v>0</v>
      </c>
      <c r="O79" s="51">
        <f>'Додаток 3'!O21</f>
        <v>0</v>
      </c>
      <c r="P79" s="52">
        <f>'Додаток 3'!P21</f>
        <v>11200</v>
      </c>
    </row>
    <row r="80" spans="1:16" ht="53.25" customHeight="1">
      <c r="A80" s="299" t="s">
        <v>120</v>
      </c>
      <c r="B80" s="139" t="s">
        <v>34</v>
      </c>
      <c r="C80" s="18" t="str">
        <f>'Додаток 3'!C117</f>
        <v>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v>
      </c>
      <c r="D80" s="19">
        <f>'Додаток 3'!D117</f>
        <v>391433</v>
      </c>
      <c r="E80" s="19">
        <f>'Додаток 3'!E117</f>
        <v>391433</v>
      </c>
      <c r="F80" s="19">
        <f>'Додаток 3'!F117</f>
        <v>0</v>
      </c>
      <c r="G80" s="19">
        <f>'Додаток 3'!G117</f>
        <v>0</v>
      </c>
      <c r="H80" s="19">
        <f>'Додаток 3'!H117</f>
        <v>0</v>
      </c>
      <c r="I80" s="19">
        <f>'Додаток 3'!I117</f>
        <v>0</v>
      </c>
      <c r="J80" s="19">
        <f>'Додаток 3'!J117</f>
        <v>0</v>
      </c>
      <c r="K80" s="19">
        <f>'Додаток 3'!K117</f>
        <v>0</v>
      </c>
      <c r="L80" s="19">
        <f>'Додаток 3'!L117</f>
        <v>0</v>
      </c>
      <c r="M80" s="19">
        <f>'Додаток 3'!M117</f>
        <v>0</v>
      </c>
      <c r="N80" s="19">
        <f>'Додаток 3'!N117</f>
        <v>0</v>
      </c>
      <c r="O80" s="51">
        <f>'Додаток 3'!O117</f>
        <v>0</v>
      </c>
      <c r="P80" s="52">
        <f>'Додаток 3'!P117</f>
        <v>391433</v>
      </c>
    </row>
    <row r="81" spans="1:16" ht="36" customHeight="1">
      <c r="A81" s="312"/>
      <c r="B81" s="139"/>
      <c r="C81" s="18" t="str">
        <f>'Додаток 3'!C118</f>
        <v>в тому числі  субвенція з міського бюджету на оздоровлення дітей у пришкільних таборах</v>
      </c>
      <c r="D81" s="19">
        <f>'Додаток 3'!D118</f>
        <v>391433</v>
      </c>
      <c r="E81" s="19">
        <f>'Додаток 3'!E118</f>
        <v>391433</v>
      </c>
      <c r="F81" s="19">
        <f>'Додаток 3'!F118</f>
        <v>0</v>
      </c>
      <c r="G81" s="19">
        <f>'Додаток 3'!G118</f>
        <v>0</v>
      </c>
      <c r="H81" s="19">
        <f>'Додаток 3'!H118</f>
        <v>0</v>
      </c>
      <c r="I81" s="19">
        <f>'Додаток 3'!I118</f>
        <v>0</v>
      </c>
      <c r="J81" s="19">
        <f>'Додаток 3'!J118</f>
        <v>0</v>
      </c>
      <c r="K81" s="19">
        <f>'Додаток 3'!K118</f>
        <v>0</v>
      </c>
      <c r="L81" s="19">
        <f>'Додаток 3'!L118</f>
        <v>0</v>
      </c>
      <c r="M81" s="19">
        <f>'Додаток 3'!M118</f>
        <v>0</v>
      </c>
      <c r="N81" s="19">
        <f>'Додаток 3'!N118</f>
        <v>0</v>
      </c>
      <c r="O81" s="51">
        <f>'Додаток 3'!O118</f>
        <v>0</v>
      </c>
      <c r="P81" s="52">
        <f>'Додаток 3'!P118</f>
        <v>391433</v>
      </c>
    </row>
    <row r="82" spans="1:16" ht="23.25" customHeight="1">
      <c r="A82" s="331" t="s">
        <v>86</v>
      </c>
      <c r="B82" s="136" t="s">
        <v>87</v>
      </c>
      <c r="C82" s="131" t="str">
        <f>'Додаток 3'!C85</f>
        <v>Територіальні центри соціального обслуговування (надання соціальних послуг)</v>
      </c>
      <c r="D82" s="80">
        <f>'Додаток 3'!D85</f>
        <v>5026094</v>
      </c>
      <c r="E82" s="80">
        <f>'Додаток 3'!E85</f>
        <v>5026094</v>
      </c>
      <c r="F82" s="80">
        <f>'Додаток 3'!F85</f>
        <v>3430949</v>
      </c>
      <c r="G82" s="80">
        <f>'Додаток 3'!G85</f>
        <v>234566</v>
      </c>
      <c r="H82" s="80">
        <f>'Додаток 3'!H85</f>
        <v>0</v>
      </c>
      <c r="I82" s="17">
        <f>'Додаток 3'!I85</f>
        <v>121377</v>
      </c>
      <c r="J82" s="17">
        <f>'Додаток 3'!J85</f>
        <v>46127</v>
      </c>
      <c r="K82" s="17">
        <f>'Додаток 3'!K85</f>
        <v>33711</v>
      </c>
      <c r="L82" s="17">
        <f>'Додаток 3'!L85</f>
        <v>0</v>
      </c>
      <c r="M82" s="17">
        <f>'Додаток 3'!M85</f>
        <v>75250</v>
      </c>
      <c r="N82" s="17">
        <f>'Додаток 3'!N85</f>
        <v>75250</v>
      </c>
      <c r="O82" s="54">
        <f>'Додаток 3'!O85</f>
        <v>75250</v>
      </c>
      <c r="P82" s="53">
        <f>'Додаток 3'!P85</f>
        <v>5147471</v>
      </c>
    </row>
    <row r="83" spans="1:16" ht="22.5" customHeight="1">
      <c r="A83" s="332"/>
      <c r="B83" s="136"/>
      <c r="C83" s="18" t="s">
        <v>180</v>
      </c>
      <c r="D83" s="80">
        <f>'Додаток 3'!D86</f>
        <v>232482</v>
      </c>
      <c r="E83" s="80">
        <f>'Додаток 3'!E86</f>
        <v>232482</v>
      </c>
      <c r="F83" s="80">
        <f>'Додаток 3'!F86</f>
        <v>0</v>
      </c>
      <c r="G83" s="80">
        <f>'Додаток 3'!G86</f>
        <v>0</v>
      </c>
      <c r="H83" s="80">
        <f>'Додаток 3'!H86</f>
        <v>0</v>
      </c>
      <c r="I83" s="80">
        <f>'Додаток 3'!I86</f>
        <v>75250</v>
      </c>
      <c r="J83" s="80">
        <f>'Додаток 3'!J86</f>
        <v>0</v>
      </c>
      <c r="K83" s="80">
        <f>'Додаток 3'!K86</f>
        <v>0</v>
      </c>
      <c r="L83" s="80">
        <f>'Додаток 3'!L86</f>
        <v>0</v>
      </c>
      <c r="M83" s="80">
        <f>'Додаток 3'!M86</f>
        <v>75250</v>
      </c>
      <c r="N83" s="80">
        <f>'Додаток 3'!N86</f>
        <v>75250</v>
      </c>
      <c r="O83" s="92">
        <f>'Додаток 3'!O86</f>
        <v>75250</v>
      </c>
      <c r="P83" s="132">
        <f>'Додаток 3'!P86</f>
        <v>307732</v>
      </c>
    </row>
    <row r="84" spans="1:16" ht="57" customHeight="1">
      <c r="A84" s="16" t="s">
        <v>89</v>
      </c>
      <c r="B84" s="139" t="s">
        <v>81</v>
      </c>
      <c r="C84" s="18" t="str">
        <f>'Додаток 3'!C87</f>
        <v>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v>
      </c>
      <c r="D84" s="19">
        <f>'Додаток 3'!D87</f>
        <v>229936</v>
      </c>
      <c r="E84" s="19">
        <f>'Додаток 3'!E87</f>
        <v>229936</v>
      </c>
      <c r="F84" s="19">
        <f>'Додаток 3'!F87</f>
        <v>0</v>
      </c>
      <c r="G84" s="19">
        <f>'Додаток 3'!G87</f>
        <v>0</v>
      </c>
      <c r="H84" s="19">
        <f>'Додаток 3'!H87</f>
        <v>0</v>
      </c>
      <c r="I84" s="19">
        <f>'Додаток 3'!I87</f>
        <v>0</v>
      </c>
      <c r="J84" s="19">
        <f>'Додаток 3'!J87</f>
        <v>0</v>
      </c>
      <c r="K84" s="19">
        <f>'Додаток 3'!K87</f>
        <v>0</v>
      </c>
      <c r="L84" s="19">
        <f>'Додаток 3'!L87</f>
        <v>0</v>
      </c>
      <c r="M84" s="19">
        <f>'Додаток 3'!M87</f>
        <v>0</v>
      </c>
      <c r="N84" s="19">
        <f>'Додаток 3'!N87</f>
        <v>0</v>
      </c>
      <c r="O84" s="51">
        <f>'Додаток 3'!O87</f>
        <v>0</v>
      </c>
      <c r="P84" s="52">
        <f>'Додаток 3'!P87</f>
        <v>229936</v>
      </c>
    </row>
    <row r="85" spans="1:16" ht="20.25" customHeight="1">
      <c r="A85" s="16" t="s">
        <v>90</v>
      </c>
      <c r="B85" s="139" t="s">
        <v>49</v>
      </c>
      <c r="C85" s="18" t="str">
        <f>'Додаток 3'!C88</f>
        <v>Фінансова підтримка громадських організацій інвалідів і ветеранів</v>
      </c>
      <c r="D85" s="19">
        <f>'Додаток 3'!D88</f>
        <v>149222</v>
      </c>
      <c r="E85" s="19">
        <f>'Додаток 3'!E88</f>
        <v>149222</v>
      </c>
      <c r="F85" s="19">
        <f>'Додаток 3'!F88</f>
        <v>0</v>
      </c>
      <c r="G85" s="19">
        <f>'Додаток 3'!G88</f>
        <v>0</v>
      </c>
      <c r="H85" s="19">
        <f>'Додаток 3'!H88</f>
        <v>0</v>
      </c>
      <c r="I85" s="19">
        <f>'Додаток 3'!I88</f>
        <v>0</v>
      </c>
      <c r="J85" s="19">
        <f>'Додаток 3'!J88</f>
        <v>0</v>
      </c>
      <c r="K85" s="19">
        <f>'Додаток 3'!K88</f>
        <v>0</v>
      </c>
      <c r="L85" s="19">
        <f>'Додаток 3'!L88</f>
        <v>0</v>
      </c>
      <c r="M85" s="19">
        <f>'Додаток 3'!M88</f>
        <v>0</v>
      </c>
      <c r="N85" s="19">
        <f>'Додаток 3'!N88</f>
        <v>0</v>
      </c>
      <c r="O85" s="51">
        <f>'Додаток 3'!O88</f>
        <v>0</v>
      </c>
      <c r="P85" s="52">
        <f>'Додаток 3'!P88</f>
        <v>149222</v>
      </c>
    </row>
    <row r="86" spans="1:16" ht="23.25" customHeight="1">
      <c r="A86" s="16" t="s">
        <v>92</v>
      </c>
      <c r="B86" s="139" t="s">
        <v>81</v>
      </c>
      <c r="C86" s="18" t="str">
        <f>'Додаток 3'!C89</f>
        <v>Державна соціальна допомога інвалідам з дитинства та дітям-інвалідам</v>
      </c>
      <c r="D86" s="19">
        <f>'Додаток 3'!D89</f>
        <v>17948721</v>
      </c>
      <c r="E86" s="19">
        <f>'Додаток 3'!E89</f>
        <v>17948721</v>
      </c>
      <c r="F86" s="19">
        <f>'Додаток 3'!F89</f>
        <v>0</v>
      </c>
      <c r="G86" s="19">
        <f>'Додаток 3'!G89</f>
        <v>0</v>
      </c>
      <c r="H86" s="19">
        <f>'Додаток 3'!H89</f>
        <v>0</v>
      </c>
      <c r="I86" s="19">
        <f>'Додаток 3'!I89</f>
        <v>0</v>
      </c>
      <c r="J86" s="19">
        <f>'Додаток 3'!J89</f>
        <v>0</v>
      </c>
      <c r="K86" s="19">
        <f>'Додаток 3'!K89</f>
        <v>0</v>
      </c>
      <c r="L86" s="19">
        <f>'Додаток 3'!L89</f>
        <v>0</v>
      </c>
      <c r="M86" s="19">
        <f>'Додаток 3'!M89</f>
        <v>0</v>
      </c>
      <c r="N86" s="19">
        <f>'Додаток 3'!N89</f>
        <v>0</v>
      </c>
      <c r="O86" s="51">
        <f>'Додаток 3'!O89</f>
        <v>0</v>
      </c>
      <c r="P86" s="52">
        <f>'Додаток 3'!P89</f>
        <v>17948721</v>
      </c>
    </row>
    <row r="87" spans="1:16" ht="66.75" customHeight="1" thickBot="1">
      <c r="A87" s="27"/>
      <c r="B87" s="140"/>
      <c r="C87" s="67" t="str">
        <f>'Додаток 3'!C90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87" s="23">
        <f>'Додаток 3'!D90</f>
        <v>17948721</v>
      </c>
      <c r="E87" s="23">
        <f>'Додаток 3'!E90</f>
        <v>17948721</v>
      </c>
      <c r="F87" s="23">
        <f>'Додаток 3'!F90</f>
        <v>0</v>
      </c>
      <c r="G87" s="23">
        <f>'Додаток 3'!G90</f>
        <v>0</v>
      </c>
      <c r="H87" s="23">
        <f>'Додаток 3'!H90</f>
        <v>0</v>
      </c>
      <c r="I87" s="23">
        <f>'Додаток 3'!I90</f>
        <v>0</v>
      </c>
      <c r="J87" s="23">
        <f>'Додаток 3'!J90</f>
        <v>0</v>
      </c>
      <c r="K87" s="23">
        <f>'Додаток 3'!K90</f>
        <v>0</v>
      </c>
      <c r="L87" s="23">
        <f>'Додаток 3'!L90</f>
        <v>0</v>
      </c>
      <c r="M87" s="23">
        <f>'Додаток 3'!M90</f>
        <v>0</v>
      </c>
      <c r="N87" s="23">
        <f>'Додаток 3'!N90</f>
        <v>0</v>
      </c>
      <c r="O87" s="63">
        <f>'Додаток 3'!O90</f>
        <v>0</v>
      </c>
      <c r="P87" s="58">
        <f>'Додаток 3'!P90</f>
        <v>17948721</v>
      </c>
    </row>
    <row r="88" spans="1:16" ht="16.5" customHeight="1" hidden="1" thickBot="1">
      <c r="A88" s="262"/>
      <c r="B88" s="225"/>
      <c r="C88" s="228"/>
      <c r="P88" s="225"/>
    </row>
    <row r="89" spans="1:16" ht="31.5" customHeight="1" hidden="1" thickBot="1">
      <c r="A89" s="262"/>
      <c r="B89" s="225"/>
      <c r="C89" s="228"/>
      <c r="P89" s="225"/>
    </row>
    <row r="90" spans="1:16" ht="29.25" customHeight="1" thickBot="1">
      <c r="A90" s="259" t="s">
        <v>42</v>
      </c>
      <c r="B90" s="233"/>
      <c r="C90" s="234" t="s">
        <v>135</v>
      </c>
      <c r="D90" s="235">
        <f>D91</f>
        <v>15323327</v>
      </c>
      <c r="E90" s="235">
        <f aca="true" t="shared" si="3" ref="E90:P90">E91</f>
        <v>15323327</v>
      </c>
      <c r="F90" s="235">
        <f t="shared" si="3"/>
        <v>0</v>
      </c>
      <c r="G90" s="235">
        <f t="shared" si="3"/>
        <v>23000</v>
      </c>
      <c r="H90" s="235">
        <f t="shared" si="3"/>
        <v>0</v>
      </c>
      <c r="I90" s="235">
        <f t="shared" si="3"/>
        <v>26741</v>
      </c>
      <c r="J90" s="235">
        <f t="shared" si="3"/>
        <v>26741</v>
      </c>
      <c r="K90" s="235">
        <f t="shared" si="3"/>
        <v>0</v>
      </c>
      <c r="L90" s="235">
        <f t="shared" si="3"/>
        <v>0</v>
      </c>
      <c r="M90" s="235">
        <f t="shared" si="3"/>
        <v>0</v>
      </c>
      <c r="N90" s="235">
        <f t="shared" si="3"/>
        <v>0</v>
      </c>
      <c r="O90" s="64">
        <f t="shared" si="3"/>
        <v>0</v>
      </c>
      <c r="P90" s="32">
        <f t="shared" si="3"/>
        <v>15350068</v>
      </c>
    </row>
    <row r="91" spans="1:16" s="3" customFormat="1" ht="22.5" customHeight="1">
      <c r="A91" s="312" t="s">
        <v>44</v>
      </c>
      <c r="B91" s="150" t="s">
        <v>45</v>
      </c>
      <c r="C91" s="68" t="s">
        <v>46</v>
      </c>
      <c r="D91" s="230">
        <f>'Додаток 3'!D35</f>
        <v>15323327</v>
      </c>
      <c r="E91" s="230">
        <f>'Додаток 3'!E35</f>
        <v>15323327</v>
      </c>
      <c r="F91" s="230">
        <f>'Додаток 3'!F35</f>
        <v>0</v>
      </c>
      <c r="G91" s="230">
        <f>'Додаток 3'!G35</f>
        <v>23000</v>
      </c>
      <c r="H91" s="230">
        <f>'Додаток 3'!H35</f>
        <v>0</v>
      </c>
      <c r="I91" s="230">
        <f>'Додаток 3'!I35</f>
        <v>26741</v>
      </c>
      <c r="J91" s="230">
        <f>'Додаток 3'!J35</f>
        <v>26741</v>
      </c>
      <c r="K91" s="230">
        <f>'Додаток 3'!K35</f>
        <v>0</v>
      </c>
      <c r="L91" s="230">
        <f>'Додаток 3'!L35</f>
        <v>0</v>
      </c>
      <c r="M91" s="230">
        <f>'Додаток 3'!M35</f>
        <v>0</v>
      </c>
      <c r="N91" s="230">
        <f>'Додаток 3'!N35</f>
        <v>0</v>
      </c>
      <c r="O91" s="231">
        <f>'Додаток 3'!O35</f>
        <v>0</v>
      </c>
      <c r="P91" s="232">
        <f>'Додаток 3'!P35</f>
        <v>15350068</v>
      </c>
    </row>
    <row r="92" spans="1:16" ht="22.5" customHeight="1">
      <c r="A92" s="293"/>
      <c r="B92" s="139"/>
      <c r="C92" s="18" t="s">
        <v>47</v>
      </c>
      <c r="D92" s="31">
        <f>'Додаток 3'!D37</f>
        <v>50000</v>
      </c>
      <c r="E92" s="31">
        <f>'Додаток 3'!E37</f>
        <v>50000</v>
      </c>
      <c r="F92" s="31">
        <f>'Додаток 3'!F37</f>
        <v>0</v>
      </c>
      <c r="G92" s="31">
        <f>'Додаток 3'!G37</f>
        <v>0</v>
      </c>
      <c r="H92" s="31">
        <f>'Додаток 3'!H37</f>
        <v>0</v>
      </c>
      <c r="I92" s="31">
        <f>'Додаток 3'!I37</f>
        <v>0</v>
      </c>
      <c r="J92" s="31">
        <f>'Додаток 3'!J37</f>
        <v>0</v>
      </c>
      <c r="K92" s="31">
        <f>'Додаток 3'!K37</f>
        <v>0</v>
      </c>
      <c r="L92" s="31">
        <f>'Додаток 3'!L37</f>
        <v>0</v>
      </c>
      <c r="M92" s="31">
        <f>'Додаток 3'!M37</f>
        <v>0</v>
      </c>
      <c r="N92" s="31">
        <f>'Додаток 3'!N37</f>
        <v>0</v>
      </c>
      <c r="O92" s="127">
        <f>'Додаток 3'!O37</f>
        <v>0</v>
      </c>
      <c r="P92" s="62">
        <f>'Додаток 3'!P37</f>
        <v>50000</v>
      </c>
    </row>
    <row r="93" spans="1:16" ht="22.5" customHeight="1" thickBot="1">
      <c r="A93" s="76"/>
      <c r="B93" s="140"/>
      <c r="C93" s="229" t="s">
        <v>181</v>
      </c>
      <c r="D93" s="137">
        <f>'Додаток 3'!D36</f>
        <v>109901</v>
      </c>
      <c r="E93" s="137">
        <f>'Додаток 3'!E36</f>
        <v>109901</v>
      </c>
      <c r="F93" s="137">
        <v>0</v>
      </c>
      <c r="G93" s="137">
        <v>0</v>
      </c>
      <c r="H93" s="137">
        <v>0</v>
      </c>
      <c r="I93" s="137">
        <v>0</v>
      </c>
      <c r="J93" s="137">
        <v>0</v>
      </c>
      <c r="K93" s="137">
        <v>0</v>
      </c>
      <c r="L93" s="137">
        <v>0</v>
      </c>
      <c r="M93" s="137">
        <v>0</v>
      </c>
      <c r="N93" s="137">
        <v>0</v>
      </c>
      <c r="O93" s="138">
        <v>0</v>
      </c>
      <c r="P93" s="128">
        <f>'Додаток 3'!P36</f>
        <v>109901</v>
      </c>
    </row>
    <row r="94" spans="1:16" ht="23.25" customHeight="1" thickBot="1">
      <c r="A94" s="259" t="s">
        <v>36</v>
      </c>
      <c r="B94" s="233"/>
      <c r="C94" s="234" t="s">
        <v>136</v>
      </c>
      <c r="D94" s="238">
        <f>D95</f>
        <v>159904</v>
      </c>
      <c r="E94" s="238">
        <f aca="true" t="shared" si="4" ref="E94:P94">E95</f>
        <v>159904</v>
      </c>
      <c r="F94" s="238">
        <f t="shared" si="4"/>
        <v>0</v>
      </c>
      <c r="G94" s="238">
        <f t="shared" si="4"/>
        <v>0</v>
      </c>
      <c r="H94" s="238">
        <f t="shared" si="4"/>
        <v>0</v>
      </c>
      <c r="I94" s="238">
        <f t="shared" si="4"/>
        <v>0</v>
      </c>
      <c r="J94" s="238">
        <f t="shared" si="4"/>
        <v>0</v>
      </c>
      <c r="K94" s="238">
        <f t="shared" si="4"/>
        <v>0</v>
      </c>
      <c r="L94" s="238">
        <f t="shared" si="4"/>
        <v>0</v>
      </c>
      <c r="M94" s="238">
        <f t="shared" si="4"/>
        <v>0</v>
      </c>
      <c r="N94" s="238">
        <f t="shared" si="4"/>
        <v>0</v>
      </c>
      <c r="O94" s="243">
        <f t="shared" si="4"/>
        <v>0</v>
      </c>
      <c r="P94" s="241">
        <f t="shared" si="4"/>
        <v>159904</v>
      </c>
    </row>
    <row r="95" spans="1:48" s="3" customFormat="1" ht="41.25" customHeight="1" thickBot="1">
      <c r="A95" s="260" t="s">
        <v>38</v>
      </c>
      <c r="B95" s="222" t="s">
        <v>39</v>
      </c>
      <c r="C95" s="69" t="s">
        <v>40</v>
      </c>
      <c r="D95" s="242">
        <f>'Додаток 3'!D23</f>
        <v>159904</v>
      </c>
      <c r="E95" s="242">
        <f>'Додаток 3'!E23</f>
        <v>159904</v>
      </c>
      <c r="F95" s="242">
        <f>'Додаток 3'!F23</f>
        <v>0</v>
      </c>
      <c r="G95" s="242">
        <f>'Додаток 3'!G23</f>
        <v>0</v>
      </c>
      <c r="H95" s="242">
        <f>'Додаток 3'!H23</f>
        <v>0</v>
      </c>
      <c r="I95" s="242">
        <f>'Додаток 3'!I23</f>
        <v>0</v>
      </c>
      <c r="J95" s="242">
        <f>'Додаток 3'!J23</f>
        <v>0</v>
      </c>
      <c r="K95" s="242">
        <f>'Додаток 3'!K23</f>
        <v>0</v>
      </c>
      <c r="L95" s="242">
        <f>'Додаток 3'!L23</f>
        <v>0</v>
      </c>
      <c r="M95" s="242">
        <f>'Додаток 3'!M23</f>
        <v>0</v>
      </c>
      <c r="N95" s="242">
        <f>'Додаток 3'!N23</f>
        <v>0</v>
      </c>
      <c r="O95" s="223">
        <f>'Додаток 3'!O23</f>
        <v>0</v>
      </c>
      <c r="P95" s="224">
        <f>'Додаток 3'!P23</f>
        <v>159904</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s="3" customFormat="1" ht="24" customHeight="1" thickBot="1">
      <c r="A96" s="259" t="s">
        <v>164</v>
      </c>
      <c r="B96" s="233"/>
      <c r="C96" s="234" t="s">
        <v>179</v>
      </c>
      <c r="D96" s="238">
        <f>'Додаток 3'!D24</f>
        <v>16800</v>
      </c>
      <c r="E96" s="239">
        <f>'Додаток 3'!E24</f>
        <v>16800</v>
      </c>
      <c r="F96" s="239">
        <f>'Додаток 3'!F24</f>
        <v>0</v>
      </c>
      <c r="G96" s="239">
        <f>'Додаток 3'!G24</f>
        <v>0</v>
      </c>
      <c r="H96" s="239">
        <f>'Додаток 3'!H24</f>
        <v>0</v>
      </c>
      <c r="I96" s="239">
        <f>'Додаток 3'!I24</f>
        <v>0</v>
      </c>
      <c r="J96" s="239">
        <f>'Додаток 3'!J24</f>
        <v>0</v>
      </c>
      <c r="K96" s="239">
        <f>'Додаток 3'!K24</f>
        <v>0</v>
      </c>
      <c r="L96" s="239">
        <f>'Додаток 3'!L24</f>
        <v>0</v>
      </c>
      <c r="M96" s="239">
        <f>'Додаток 3'!M24</f>
        <v>0</v>
      </c>
      <c r="N96" s="239">
        <f>'Додаток 3'!N24</f>
        <v>0</v>
      </c>
      <c r="O96" s="240">
        <f>'Додаток 3'!O24</f>
        <v>0</v>
      </c>
      <c r="P96" s="241">
        <f>'Додаток 3'!P24</f>
        <v>16800</v>
      </c>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s="3" customFormat="1" ht="25.5" customHeight="1">
      <c r="A97" s="129" t="s">
        <v>166</v>
      </c>
      <c r="B97" s="150" t="s">
        <v>168</v>
      </c>
      <c r="C97" s="68" t="s">
        <v>169</v>
      </c>
      <c r="D97" s="230">
        <f>'Додаток 3'!D25</f>
        <v>5600</v>
      </c>
      <c r="E97" s="236">
        <f>'Додаток 3'!E25</f>
        <v>5600</v>
      </c>
      <c r="F97" s="236">
        <f>'Додаток 3'!F25</f>
        <v>0</v>
      </c>
      <c r="G97" s="236">
        <f>'Додаток 3'!G25</f>
        <v>0</v>
      </c>
      <c r="H97" s="236">
        <f>'Додаток 3'!H25</f>
        <v>0</v>
      </c>
      <c r="I97" s="236">
        <f>'Додаток 3'!I25</f>
        <v>0</v>
      </c>
      <c r="J97" s="236">
        <f>'Додаток 3'!J25</f>
        <v>0</v>
      </c>
      <c r="K97" s="236">
        <f>'Додаток 3'!K25</f>
        <v>0</v>
      </c>
      <c r="L97" s="236">
        <f>'Додаток 3'!L25</f>
        <v>0</v>
      </c>
      <c r="M97" s="236">
        <f>'Додаток 3'!M25</f>
        <v>0</v>
      </c>
      <c r="N97" s="236">
        <f>'Додаток 3'!N25</f>
        <v>0</v>
      </c>
      <c r="O97" s="237">
        <f>'Додаток 3'!O25</f>
        <v>0</v>
      </c>
      <c r="P97" s="232">
        <f>'Додаток 3'!P25</f>
        <v>5600</v>
      </c>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s="3" customFormat="1" ht="42" customHeight="1" thickBot="1">
      <c r="A98" s="27" t="s">
        <v>167</v>
      </c>
      <c r="B98" s="140" t="s">
        <v>168</v>
      </c>
      <c r="C98" s="67" t="s">
        <v>170</v>
      </c>
      <c r="D98" s="137">
        <f>'Додаток 3'!D26</f>
        <v>11200</v>
      </c>
      <c r="E98" s="156">
        <f>'Додаток 3'!E26</f>
        <v>11200</v>
      </c>
      <c r="F98" s="156">
        <f>'Додаток 3'!F26</f>
        <v>0</v>
      </c>
      <c r="G98" s="156">
        <f>'Додаток 3'!G26</f>
        <v>0</v>
      </c>
      <c r="H98" s="156">
        <f>'Додаток 3'!H26</f>
        <v>0</v>
      </c>
      <c r="I98" s="156">
        <f>'Додаток 3'!I26</f>
        <v>0</v>
      </c>
      <c r="J98" s="156">
        <f>'Додаток 3'!J26</f>
        <v>0</v>
      </c>
      <c r="K98" s="156">
        <f>'Додаток 3'!K26</f>
        <v>0</v>
      </c>
      <c r="L98" s="156">
        <f>'Додаток 3'!L26</f>
        <v>0</v>
      </c>
      <c r="M98" s="156">
        <f>'Додаток 3'!M26</f>
        <v>0</v>
      </c>
      <c r="N98" s="156">
        <f>'Додаток 3'!N26</f>
        <v>0</v>
      </c>
      <c r="O98" s="157">
        <f>'Додаток 3'!O26</f>
        <v>0</v>
      </c>
      <c r="P98" s="128">
        <f>'Додаток 3'!P26</f>
        <v>11200</v>
      </c>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s="3" customFormat="1" ht="28.5" customHeight="1" thickBot="1">
      <c r="A99" s="263" t="s">
        <v>182</v>
      </c>
      <c r="B99" s="244"/>
      <c r="C99" s="245" t="s">
        <v>187</v>
      </c>
      <c r="D99" s="238">
        <f>'Додаток 3'!D119</f>
        <v>0</v>
      </c>
      <c r="E99" s="239">
        <f>'Додаток 3'!E119</f>
        <v>0</v>
      </c>
      <c r="F99" s="239">
        <f>'Додаток 3'!F119</f>
        <v>0</v>
      </c>
      <c r="G99" s="239">
        <f>'Додаток 3'!G119</f>
        <v>0</v>
      </c>
      <c r="H99" s="239">
        <f>'Додаток 3'!H119</f>
        <v>0</v>
      </c>
      <c r="I99" s="239">
        <f>'Додаток 3'!I119</f>
        <v>200165</v>
      </c>
      <c r="J99" s="239">
        <f>'Додаток 3'!J119</f>
        <v>0</v>
      </c>
      <c r="K99" s="239">
        <f>'Додаток 3'!K119</f>
        <v>0</v>
      </c>
      <c r="L99" s="239">
        <f>'Додаток 3'!L119</f>
        <v>0</v>
      </c>
      <c r="M99" s="239">
        <f>'Додаток 3'!M119</f>
        <v>200165</v>
      </c>
      <c r="N99" s="239">
        <f>'Додаток 3'!N119</f>
        <v>200165</v>
      </c>
      <c r="O99" s="240">
        <f>'Додаток 3'!O119</f>
        <v>0</v>
      </c>
      <c r="P99" s="241">
        <f>'Додаток 3'!P119</f>
        <v>200165</v>
      </c>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s="3" customFormat="1" ht="30" customHeight="1">
      <c r="A100" s="328" t="s">
        <v>183</v>
      </c>
      <c r="B100" s="226" t="s">
        <v>184</v>
      </c>
      <c r="C100" s="155" t="s">
        <v>186</v>
      </c>
      <c r="D100" s="230">
        <f>'Додаток 3'!D120</f>
        <v>0</v>
      </c>
      <c r="E100" s="236">
        <f>'Додаток 3'!E120</f>
        <v>0</v>
      </c>
      <c r="F100" s="236">
        <f>'Додаток 3'!F120</f>
        <v>0</v>
      </c>
      <c r="G100" s="236">
        <f>'Додаток 3'!G120</f>
        <v>0</v>
      </c>
      <c r="H100" s="236">
        <f>'Додаток 3'!H120</f>
        <v>0</v>
      </c>
      <c r="I100" s="236">
        <f>'Додаток 3'!I120</f>
        <v>200165</v>
      </c>
      <c r="J100" s="236">
        <f>'Додаток 3'!J120</f>
        <v>0</v>
      </c>
      <c r="K100" s="236">
        <f>'Додаток 3'!K120</f>
        <v>0</v>
      </c>
      <c r="L100" s="236">
        <f>'Додаток 3'!L120</f>
        <v>0</v>
      </c>
      <c r="M100" s="236">
        <f>'Додаток 3'!M120</f>
        <v>200165</v>
      </c>
      <c r="N100" s="236">
        <f>'Додаток 3'!N120</f>
        <v>200165</v>
      </c>
      <c r="O100" s="237">
        <f>'Додаток 3'!O120</f>
        <v>0</v>
      </c>
      <c r="P100" s="232">
        <f>'Додаток 3'!P120</f>
        <v>200165</v>
      </c>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s="3" customFormat="1" ht="25.5" customHeight="1" thickBot="1">
      <c r="A101" s="329"/>
      <c r="B101" s="246"/>
      <c r="C101" s="229" t="s">
        <v>180</v>
      </c>
      <c r="D101" s="137">
        <f>'Додаток 3'!D121</f>
        <v>0</v>
      </c>
      <c r="E101" s="156">
        <f>'Додаток 3'!E121</f>
        <v>0</v>
      </c>
      <c r="F101" s="156">
        <f>'Додаток 3'!F121</f>
        <v>0</v>
      </c>
      <c r="G101" s="156">
        <f>'Додаток 3'!G121</f>
        <v>0</v>
      </c>
      <c r="H101" s="156">
        <f>'Додаток 3'!H121</f>
        <v>0</v>
      </c>
      <c r="I101" s="156">
        <f>'Додаток 3'!I121</f>
        <v>200165</v>
      </c>
      <c r="J101" s="156">
        <f>'Додаток 3'!J121</f>
        <v>0</v>
      </c>
      <c r="K101" s="156">
        <f>'Додаток 3'!K121</f>
        <v>0</v>
      </c>
      <c r="L101" s="156">
        <f>'Додаток 3'!L121</f>
        <v>0</v>
      </c>
      <c r="M101" s="156">
        <f>'Додаток 3'!M121</f>
        <v>200165</v>
      </c>
      <c r="N101" s="156">
        <f>'Додаток 3'!N121</f>
        <v>200165</v>
      </c>
      <c r="O101" s="157">
        <f>'Додаток 3'!O121</f>
        <v>0</v>
      </c>
      <c r="P101" s="128">
        <f>'Додаток 3'!P121</f>
        <v>200165</v>
      </c>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s="3" customFormat="1" ht="27" customHeight="1" thickBot="1">
      <c r="A102" s="259" t="s">
        <v>177</v>
      </c>
      <c r="B102" s="233"/>
      <c r="C102" s="234" t="s">
        <v>178</v>
      </c>
      <c r="D102" s="247">
        <f>D103</f>
        <v>1843429</v>
      </c>
      <c r="E102" s="247">
        <f>E103</f>
        <v>1843429</v>
      </c>
      <c r="F102" s="248">
        <v>0</v>
      </c>
      <c r="G102" s="248">
        <v>0</v>
      </c>
      <c r="H102" s="248">
        <v>0</v>
      </c>
      <c r="I102" s="248">
        <v>0</v>
      </c>
      <c r="J102" s="248">
        <v>0</v>
      </c>
      <c r="K102" s="248">
        <v>0</v>
      </c>
      <c r="L102" s="248">
        <v>0</v>
      </c>
      <c r="M102" s="248">
        <v>0</v>
      </c>
      <c r="N102" s="248">
        <v>0</v>
      </c>
      <c r="O102" s="249">
        <v>0</v>
      </c>
      <c r="P102" s="250">
        <f>P103+'Додаток 3'!P27</f>
        <v>1843429</v>
      </c>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s="3" customFormat="1" ht="27.75" customHeight="1">
      <c r="A103" s="297" t="s">
        <v>173</v>
      </c>
      <c r="B103" s="150" t="s">
        <v>174</v>
      </c>
      <c r="C103" s="68" t="s">
        <v>176</v>
      </c>
      <c r="D103" s="21">
        <f>'Додаток 3'!D92+'Додаток 3'!D123+'Додаток 3'!D28</f>
        <v>1843429</v>
      </c>
      <c r="E103" s="21">
        <f>'Додаток 3'!E92+'Додаток 3'!E123+'Додаток 3'!E28</f>
        <v>1843429</v>
      </c>
      <c r="F103" s="21">
        <f>'Додаток 3'!F92</f>
        <v>0</v>
      </c>
      <c r="G103" s="21">
        <f>'Додаток 3'!G92</f>
        <v>0</v>
      </c>
      <c r="H103" s="21">
        <f>'Додаток 3'!H92</f>
        <v>0</v>
      </c>
      <c r="I103" s="21">
        <f>'Додаток 3'!I92</f>
        <v>0</v>
      </c>
      <c r="J103" s="21">
        <f>'Додаток 3'!J92</f>
        <v>0</v>
      </c>
      <c r="K103" s="21">
        <f>'Додаток 3'!K92</f>
        <v>0</v>
      </c>
      <c r="L103" s="21">
        <f>'Додаток 3'!L92</f>
        <v>0</v>
      </c>
      <c r="M103" s="21">
        <f>'Додаток 3'!M92</f>
        <v>0</v>
      </c>
      <c r="N103" s="21">
        <f>'Додаток 3'!N92</f>
        <v>0</v>
      </c>
      <c r="O103" s="123">
        <f>'Додаток 3'!O92</f>
        <v>0</v>
      </c>
      <c r="P103" s="61">
        <f>'Додаток 3'!P92+'Додаток 3'!P123</f>
        <v>1808467</v>
      </c>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s="3" customFormat="1" ht="29.25" customHeight="1" thickBot="1">
      <c r="A104" s="330"/>
      <c r="B104" s="258"/>
      <c r="C104" s="229" t="s">
        <v>180</v>
      </c>
      <c r="D104" s="137">
        <f>'Додаток 3'!D29+'Додаток 3'!D124</f>
        <v>785429</v>
      </c>
      <c r="E104" s="156">
        <f>'Додаток 3'!E29+'Додаток 3'!E124</f>
        <v>785429</v>
      </c>
      <c r="F104" s="156">
        <f>'Додаток 3'!F29+'Додаток 3'!F124</f>
        <v>0</v>
      </c>
      <c r="G104" s="156">
        <f>'Додаток 3'!G29+'Додаток 3'!G124</f>
        <v>0</v>
      </c>
      <c r="H104" s="156">
        <f>'Додаток 3'!H29+'Додаток 3'!H124</f>
        <v>0</v>
      </c>
      <c r="I104" s="156">
        <f>'Додаток 3'!I29+'Додаток 3'!I124</f>
        <v>0</v>
      </c>
      <c r="J104" s="156">
        <f>'Додаток 3'!J29+'Додаток 3'!J124</f>
        <v>0</v>
      </c>
      <c r="K104" s="156">
        <f>'Додаток 3'!K29+'Додаток 3'!K124</f>
        <v>0</v>
      </c>
      <c r="L104" s="156">
        <f>'Додаток 3'!L29+'Додаток 3'!L124</f>
        <v>0</v>
      </c>
      <c r="M104" s="156">
        <f>'Додаток 3'!M29+'Додаток 3'!M124</f>
        <v>0</v>
      </c>
      <c r="N104" s="156">
        <f>'Додаток 3'!N29+'Додаток 3'!N124</f>
        <v>0</v>
      </c>
      <c r="O104" s="157">
        <f>'Додаток 3'!O29+'Додаток 3'!O124</f>
        <v>0</v>
      </c>
      <c r="P104" s="128">
        <f>'Додаток 3'!P29+'Додаток 3'!P124</f>
        <v>785429</v>
      </c>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16" ht="22.5" customHeight="1" thickBot="1">
      <c r="A105" s="158"/>
      <c r="B105" s="159"/>
      <c r="C105" s="160" t="s">
        <v>121</v>
      </c>
      <c r="D105" s="32">
        <f aca="true" t="shared" si="5" ref="D105:P105">D14+D16+D37+D90+D94+D96+D102+D99</f>
        <v>456490279.71000004</v>
      </c>
      <c r="E105" s="292">
        <f t="shared" si="5"/>
        <v>456490279.71000004</v>
      </c>
      <c r="F105" s="292">
        <f t="shared" si="5"/>
        <v>157545398.5</v>
      </c>
      <c r="G105" s="292">
        <f t="shared" si="5"/>
        <v>35954550</v>
      </c>
      <c r="H105" s="292">
        <f t="shared" si="5"/>
        <v>0</v>
      </c>
      <c r="I105" s="292">
        <f t="shared" si="5"/>
        <v>11196849</v>
      </c>
      <c r="J105" s="292">
        <f t="shared" si="5"/>
        <v>9653941</v>
      </c>
      <c r="K105" s="292">
        <f t="shared" si="5"/>
        <v>214659</v>
      </c>
      <c r="L105" s="292">
        <f t="shared" si="5"/>
        <v>0</v>
      </c>
      <c r="M105" s="292">
        <f t="shared" si="5"/>
        <v>1542908</v>
      </c>
      <c r="N105" s="292">
        <f t="shared" si="5"/>
        <v>1530908</v>
      </c>
      <c r="O105" s="64">
        <f t="shared" si="5"/>
        <v>1330743</v>
      </c>
      <c r="P105" s="32">
        <f t="shared" si="5"/>
        <v>467687128.71000004</v>
      </c>
    </row>
    <row r="106" spans="1:16" ht="21" customHeight="1">
      <c r="A106" s="33"/>
      <c r="B106" s="34"/>
      <c r="C106" s="47"/>
      <c r="D106" s="35"/>
      <c r="E106" s="35"/>
      <c r="F106" s="35"/>
      <c r="G106" s="35"/>
      <c r="H106" s="35"/>
      <c r="I106" s="35"/>
      <c r="J106" s="35"/>
      <c r="K106" s="36"/>
      <c r="L106" s="35"/>
      <c r="M106" s="37"/>
      <c r="N106" s="37"/>
      <c r="O106" s="35"/>
      <c r="P106" s="37"/>
    </row>
    <row r="107" spans="1:16" ht="12.75" customHeight="1">
      <c r="A107" s="33"/>
      <c r="B107" s="34"/>
      <c r="C107" s="47"/>
      <c r="D107" s="38"/>
      <c r="E107" s="38"/>
      <c r="F107" s="38"/>
      <c r="G107" s="38"/>
      <c r="H107" s="38"/>
      <c r="I107" s="38"/>
      <c r="J107" s="38"/>
      <c r="K107" s="33"/>
      <c r="L107" s="38"/>
      <c r="M107" s="39"/>
      <c r="N107" s="39"/>
      <c r="O107" s="38"/>
      <c r="P107" s="39"/>
    </row>
    <row r="108" spans="1:16" ht="15" customHeight="1">
      <c r="A108" s="33"/>
      <c r="B108" s="34"/>
      <c r="C108" s="47"/>
      <c r="D108" s="33"/>
      <c r="E108" s="33"/>
      <c r="F108" s="39"/>
      <c r="G108" s="39"/>
      <c r="H108" s="39"/>
      <c r="I108" s="40"/>
      <c r="J108" s="40"/>
      <c r="K108" s="38"/>
      <c r="L108" s="38"/>
      <c r="M108" s="33"/>
      <c r="N108" s="33"/>
      <c r="O108" s="33"/>
      <c r="P108" s="33"/>
    </row>
    <row r="109" spans="1:16" ht="16.5" customHeight="1">
      <c r="A109" s="33"/>
      <c r="B109" s="34"/>
      <c r="C109" s="73" t="s">
        <v>156</v>
      </c>
      <c r="D109" s="74"/>
      <c r="E109" s="74"/>
      <c r="F109" s="74"/>
      <c r="G109" s="74"/>
      <c r="H109" s="74"/>
      <c r="I109" s="75"/>
      <c r="J109" s="75" t="s">
        <v>122</v>
      </c>
      <c r="K109" s="38"/>
      <c r="L109" s="38"/>
      <c r="M109" s="33"/>
      <c r="N109" s="33"/>
      <c r="O109" s="33"/>
      <c r="P109" s="33"/>
    </row>
    <row r="110" spans="1:16" ht="26.25" customHeight="1">
      <c r="A110" s="33"/>
      <c r="B110" s="34"/>
      <c r="C110" s="47"/>
      <c r="D110" s="33"/>
      <c r="E110" s="33"/>
      <c r="F110" s="39"/>
      <c r="G110" s="39"/>
      <c r="H110" s="39"/>
      <c r="I110" s="40"/>
      <c r="J110" s="40"/>
      <c r="K110" s="38"/>
      <c r="L110" s="38"/>
      <c r="M110" s="33"/>
      <c r="N110" s="33"/>
      <c r="O110" s="33"/>
      <c r="P110" s="33"/>
    </row>
    <row r="111" ht="27.75" customHeight="1">
      <c r="B111" s="41"/>
    </row>
    <row r="112" spans="2:16" ht="20.25" customHeight="1">
      <c r="B112" s="41"/>
      <c r="D112" s="42"/>
      <c r="E112" s="42"/>
      <c r="F112" s="42"/>
      <c r="G112" s="42"/>
      <c r="H112" s="42"/>
      <c r="I112" s="42"/>
      <c r="J112" s="42"/>
      <c r="K112" s="42"/>
      <c r="L112" s="42"/>
      <c r="M112" s="42"/>
      <c r="N112" s="42"/>
      <c r="O112" s="42"/>
      <c r="P112" s="42"/>
    </row>
    <row r="113" spans="2:16" ht="28.5" customHeight="1">
      <c r="B113" s="41"/>
      <c r="D113" s="42"/>
      <c r="E113" s="42"/>
      <c r="F113" s="42"/>
      <c r="G113" s="42"/>
      <c r="H113" s="42"/>
      <c r="I113" s="42"/>
      <c r="J113" s="42"/>
      <c r="K113" s="42"/>
      <c r="L113" s="42"/>
      <c r="M113" s="42"/>
      <c r="N113" s="42"/>
      <c r="O113" s="42"/>
      <c r="P113" s="42"/>
    </row>
    <row r="114" spans="2:5" ht="26.25" customHeight="1">
      <c r="B114" s="41"/>
      <c r="D114" s="42"/>
      <c r="E114" s="42"/>
    </row>
    <row r="115" spans="2:5" ht="26.25" customHeight="1">
      <c r="B115" s="41"/>
      <c r="D115" s="42"/>
      <c r="E115" s="42"/>
    </row>
    <row r="116" spans="2:5" ht="28.5" customHeight="1">
      <c r="B116" s="41"/>
      <c r="D116" s="42"/>
      <c r="E116" s="42"/>
    </row>
    <row r="117" spans="2:5" ht="29.25" customHeight="1">
      <c r="B117" s="41"/>
      <c r="C117" s="48"/>
      <c r="D117" s="43"/>
      <c r="E117" s="43"/>
    </row>
    <row r="118" spans="2:5" ht="35.25" customHeight="1">
      <c r="B118" s="41"/>
      <c r="C118" s="49"/>
      <c r="D118" s="42"/>
      <c r="E118" s="42"/>
    </row>
    <row r="119" spans="2:5" ht="25.5" customHeight="1">
      <c r="B119" s="41"/>
      <c r="C119" s="49" t="s">
        <v>123</v>
      </c>
      <c r="D119" s="42" t="e">
        <f>#REF!+#REF!</f>
        <v>#REF!</v>
      </c>
      <c r="E119" s="42"/>
    </row>
    <row r="120" spans="2:5" ht="33" customHeight="1">
      <c r="B120" s="41"/>
      <c r="D120" s="42"/>
      <c r="E120" s="42"/>
    </row>
    <row r="121" ht="33" customHeight="1">
      <c r="B121" s="41"/>
    </row>
    <row r="122" spans="2:5" ht="37.5" customHeight="1">
      <c r="B122" s="41"/>
      <c r="C122" s="49"/>
      <c r="D122" s="42"/>
      <c r="E122" s="42"/>
    </row>
    <row r="123" ht="37.5" customHeight="1">
      <c r="B123" s="41"/>
    </row>
    <row r="124" ht="33.75" customHeight="1">
      <c r="B124" s="41"/>
    </row>
    <row r="125" ht="33.75" customHeight="1">
      <c r="B125" s="41"/>
    </row>
    <row r="126" ht="29.25" customHeight="1">
      <c r="B126" s="41"/>
    </row>
    <row r="127" ht="32.25" customHeight="1">
      <c r="B127" s="41"/>
    </row>
    <row r="128" ht="37.5" customHeight="1">
      <c r="B128" s="41"/>
    </row>
    <row r="129" ht="37.5" customHeight="1">
      <c r="B129" s="41"/>
    </row>
    <row r="130" ht="45.75" customHeight="1">
      <c r="B130" s="41"/>
    </row>
    <row r="131" ht="28.5" customHeight="1">
      <c r="B131" s="41"/>
    </row>
    <row r="132" ht="45.75" customHeight="1">
      <c r="B132" s="41"/>
    </row>
    <row r="133" ht="25.5" customHeight="1">
      <c r="B133" s="41"/>
    </row>
    <row r="134" ht="25.5" customHeight="1">
      <c r="B134" s="41"/>
    </row>
    <row r="135" ht="25.5" customHeight="1">
      <c r="B135" s="41"/>
    </row>
    <row r="136" ht="25.5" customHeight="1">
      <c r="B136" s="41"/>
    </row>
    <row r="137" ht="25.5" customHeight="1">
      <c r="B137" s="41"/>
    </row>
    <row r="138" ht="33" customHeight="1">
      <c r="B138" s="41"/>
    </row>
    <row r="139" ht="25.5" customHeight="1">
      <c r="B139" s="41"/>
    </row>
    <row r="140" ht="25.5" customHeight="1">
      <c r="B140" s="41"/>
    </row>
    <row r="141" ht="34.5" customHeight="1">
      <c r="B141" s="41"/>
    </row>
    <row r="142" ht="23.25" customHeight="1">
      <c r="B142" s="41"/>
    </row>
    <row r="143" ht="26.25" customHeight="1">
      <c r="B143" s="41"/>
    </row>
    <row r="144" ht="45" customHeight="1">
      <c r="B144" s="41"/>
    </row>
    <row r="145" ht="31.5" customHeight="1">
      <c r="B145" s="41"/>
    </row>
    <row r="146" ht="24" customHeight="1">
      <c r="B146" s="41"/>
    </row>
    <row r="147" ht="33.75" customHeight="1">
      <c r="B147" s="41"/>
    </row>
    <row r="148" ht="31.5" customHeight="1">
      <c r="B148" s="41"/>
    </row>
    <row r="149" ht="24" customHeight="1">
      <c r="B149" s="41"/>
    </row>
    <row r="150" ht="20.25" customHeight="1">
      <c r="B150" s="41"/>
    </row>
    <row r="151" ht="22.5" customHeight="1">
      <c r="B151" s="41"/>
    </row>
    <row r="152" ht="17.25" customHeight="1">
      <c r="B152" s="41"/>
    </row>
    <row r="153" ht="18.75" customHeight="1">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spans="1:16" s="2" customFormat="1" ht="12.75">
      <c r="A167" s="4"/>
      <c r="B167" s="41"/>
      <c r="C167" s="44"/>
      <c r="D167" s="4"/>
      <c r="E167" s="4"/>
      <c r="F167" s="4"/>
      <c r="G167" s="4"/>
      <c r="H167" s="4"/>
      <c r="I167" s="4"/>
      <c r="J167" s="4"/>
      <c r="K167" s="4"/>
      <c r="L167" s="4"/>
      <c r="M167" s="4"/>
      <c r="N167" s="4"/>
      <c r="O167" s="4"/>
      <c r="P167" s="4"/>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sheetData>
  <sheetProtection/>
  <mergeCells count="38">
    <mergeCell ref="A103:A104"/>
    <mergeCell ref="A35:A36"/>
    <mergeCell ref="A82:A83"/>
    <mergeCell ref="A91:A92"/>
    <mergeCell ref="A71:A72"/>
    <mergeCell ref="A75:A76"/>
    <mergeCell ref="A29:A30"/>
    <mergeCell ref="A31:A32"/>
    <mergeCell ref="A33:A34"/>
    <mergeCell ref="A100:A101"/>
    <mergeCell ref="P9:P12"/>
    <mergeCell ref="D9:H9"/>
    <mergeCell ref="K11:K12"/>
    <mergeCell ref="L11:L12"/>
    <mergeCell ref="N11:N12"/>
    <mergeCell ref="J10:J12"/>
    <mergeCell ref="M10:M12"/>
    <mergeCell ref="G11:G12"/>
    <mergeCell ref="N10:O10"/>
    <mergeCell ref="H10:H12"/>
    <mergeCell ref="C6:L6"/>
    <mergeCell ref="F11:F12"/>
    <mergeCell ref="A80:A81"/>
    <mergeCell ref="E11:E12"/>
    <mergeCell ref="A73:A74"/>
    <mergeCell ref="A17:A18"/>
    <mergeCell ref="A9:A12"/>
    <mergeCell ref="A27:A28"/>
    <mergeCell ref="B9:B12"/>
    <mergeCell ref="E10:G10"/>
    <mergeCell ref="K10:L10"/>
    <mergeCell ref="A19:A21"/>
    <mergeCell ref="A22:A24"/>
    <mergeCell ref="A25:A26"/>
    <mergeCell ref="C9:C12"/>
    <mergeCell ref="I10:I12"/>
    <mergeCell ref="I9:O9"/>
    <mergeCell ref="D10:D12"/>
  </mergeCells>
  <printOptions/>
  <pageMargins left="0.3937007874015748" right="0.3937007874015748" top="0.3937007874015748" bottom="0.3937007874015748" header="0.5118110236220472" footer="0.5118110236220472"/>
  <pageSetup fitToHeight="5" horizontalDpi="600" verticalDpi="600" orientation="landscape" paperSize="9" scale="47" r:id="rId3"/>
  <rowBreaks count="1" manualBreakCount="1">
    <brk id="36" max="1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R208"/>
  <sheetViews>
    <sheetView tabSelected="1" view="pageBreakPreview" zoomScale="75" zoomScaleNormal="75" zoomScaleSheetLayoutView="75" workbookViewId="0" topLeftCell="A1">
      <pane xSplit="2" ySplit="14" topLeftCell="C143" activePane="bottomRight" state="frozen"/>
      <selection pane="topLeft" activeCell="A1" sqref="A1"/>
      <selection pane="topRight" activeCell="C1" sqref="C1"/>
      <selection pane="bottomLeft" activeCell="A15" sqref="A15"/>
      <selection pane="bottomRight" activeCell="J153" sqref="J153"/>
    </sheetView>
  </sheetViews>
  <sheetFormatPr defaultColWidth="9.00390625" defaultRowHeight="12.75"/>
  <cols>
    <col min="1" max="1" width="17.375" style="4" customWidth="1"/>
    <col min="2" max="2" width="15.625" style="4" customWidth="1"/>
    <col min="3" max="3" width="74.875" style="44" customWidth="1"/>
    <col min="4" max="4" width="15.75390625" style="4" customWidth="1"/>
    <col min="5" max="5" width="13.25390625" style="4" customWidth="1"/>
    <col min="6" max="6" width="12.25390625" style="4" customWidth="1"/>
    <col min="7" max="7" width="12.375" style="4" customWidth="1"/>
    <col min="8" max="8" width="14.125" style="4" customWidth="1"/>
    <col min="9" max="9" width="12.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row r="2" ht="12.75">
      <c r="N2" s="4" t="s">
        <v>0</v>
      </c>
    </row>
    <row r="3" ht="12.75">
      <c r="N3" s="4" t="s">
        <v>1</v>
      </c>
    </row>
    <row r="4" spans="1:14" ht="20.25">
      <c r="A4" s="7"/>
      <c r="N4" s="4" t="s">
        <v>2</v>
      </c>
    </row>
    <row r="5" ht="12.75"/>
    <row r="6" ht="12.75"/>
    <row r="7" spans="3:14" ht="15.75">
      <c r="C7" s="45"/>
      <c r="D7" s="8" t="s">
        <v>3</v>
      </c>
      <c r="E7" s="8"/>
      <c r="F7" s="8"/>
      <c r="G7" s="8"/>
      <c r="H7" s="8"/>
      <c r="I7" s="8"/>
      <c r="J7" s="8"/>
      <c r="K7" s="8"/>
      <c r="N7" s="8"/>
    </row>
    <row r="8" spans="3:14" ht="13.5" customHeight="1">
      <c r="C8" s="45"/>
      <c r="D8" s="8"/>
      <c r="E8" s="8"/>
      <c r="F8" s="8"/>
      <c r="G8" s="8"/>
      <c r="H8" s="8"/>
      <c r="I8" s="8"/>
      <c r="J8" s="8"/>
      <c r="K8" s="8"/>
      <c r="N8" s="8"/>
    </row>
    <row r="9" ht="24.75" customHeight="1" thickBot="1">
      <c r="P9" s="4" t="s">
        <v>144</v>
      </c>
    </row>
    <row r="10" spans="1:16" ht="18" customHeight="1" thickBot="1">
      <c r="A10" s="345" t="s">
        <v>5</v>
      </c>
      <c r="B10" s="314" t="s">
        <v>6</v>
      </c>
      <c r="C10" s="347" t="s">
        <v>7</v>
      </c>
      <c r="D10" s="320" t="s">
        <v>8</v>
      </c>
      <c r="E10" s="321"/>
      <c r="F10" s="321"/>
      <c r="G10" s="321"/>
      <c r="H10" s="322"/>
      <c r="I10" s="343" t="s">
        <v>9</v>
      </c>
      <c r="J10" s="344"/>
      <c r="K10" s="344"/>
      <c r="L10" s="344"/>
      <c r="M10" s="344"/>
      <c r="N10" s="344"/>
      <c r="O10" s="344"/>
      <c r="P10" s="294" t="s">
        <v>10</v>
      </c>
    </row>
    <row r="11" spans="1:16" ht="12.75" customHeight="1" thickBot="1">
      <c r="A11" s="346"/>
      <c r="B11" s="310"/>
      <c r="C11" s="348"/>
      <c r="D11" s="306" t="s">
        <v>11</v>
      </c>
      <c r="E11" s="317" t="s">
        <v>12</v>
      </c>
      <c r="F11" s="318"/>
      <c r="G11" s="319"/>
      <c r="H11" s="314" t="s">
        <v>13</v>
      </c>
      <c r="I11" s="302" t="s">
        <v>14</v>
      </c>
      <c r="J11" s="314" t="s">
        <v>15</v>
      </c>
      <c r="K11" s="295" t="s">
        <v>12</v>
      </c>
      <c r="L11" s="296"/>
      <c r="M11" s="302" t="s">
        <v>16</v>
      </c>
      <c r="N11" s="317" t="s">
        <v>17</v>
      </c>
      <c r="O11" s="318"/>
      <c r="P11" s="300"/>
    </row>
    <row r="12" spans="1:16" ht="12.75" customHeight="1">
      <c r="A12" s="346"/>
      <c r="B12" s="310"/>
      <c r="C12" s="348"/>
      <c r="D12" s="307"/>
      <c r="E12" s="302" t="s">
        <v>18</v>
      </c>
      <c r="F12" s="310" t="s">
        <v>19</v>
      </c>
      <c r="G12" s="302" t="s">
        <v>20</v>
      </c>
      <c r="H12" s="300"/>
      <c r="I12" s="302"/>
      <c r="J12" s="310"/>
      <c r="K12" s="323" t="s">
        <v>21</v>
      </c>
      <c r="L12" s="314" t="s">
        <v>20</v>
      </c>
      <c r="M12" s="302"/>
      <c r="N12" s="310" t="s">
        <v>22</v>
      </c>
      <c r="O12" s="9" t="s">
        <v>23</v>
      </c>
      <c r="P12" s="300"/>
    </row>
    <row r="13" spans="1:16" ht="161.25" customHeight="1" thickBot="1">
      <c r="A13" s="346"/>
      <c r="B13" s="325"/>
      <c r="C13" s="349"/>
      <c r="D13" s="308"/>
      <c r="E13" s="303"/>
      <c r="F13" s="311"/>
      <c r="G13" s="326"/>
      <c r="H13" s="301"/>
      <c r="I13" s="303"/>
      <c r="J13" s="325"/>
      <c r="K13" s="324"/>
      <c r="L13" s="311"/>
      <c r="M13" s="303"/>
      <c r="N13" s="311"/>
      <c r="O13" s="10" t="s">
        <v>24</v>
      </c>
      <c r="P13" s="301"/>
    </row>
    <row r="14" spans="1:16" ht="0.75" customHeight="1" thickBot="1">
      <c r="A14" s="15">
        <v>1</v>
      </c>
      <c r="B14" s="11">
        <v>2</v>
      </c>
      <c r="C14" s="46">
        <v>3</v>
      </c>
      <c r="D14" s="13">
        <v>4</v>
      </c>
      <c r="E14" s="11">
        <v>5</v>
      </c>
      <c r="F14" s="13">
        <v>6</v>
      </c>
      <c r="G14" s="14">
        <v>7</v>
      </c>
      <c r="H14" s="11">
        <v>8</v>
      </c>
      <c r="I14" s="15">
        <v>9</v>
      </c>
      <c r="J14" s="11">
        <v>10</v>
      </c>
      <c r="K14" s="13">
        <v>11</v>
      </c>
      <c r="L14" s="11">
        <v>12</v>
      </c>
      <c r="M14" s="13">
        <v>13</v>
      </c>
      <c r="N14" s="11">
        <v>14</v>
      </c>
      <c r="O14" s="13">
        <v>15</v>
      </c>
      <c r="P14" s="11">
        <v>16</v>
      </c>
    </row>
    <row r="15" spans="1:16" ht="36" customHeight="1">
      <c r="A15" s="179"/>
      <c r="B15" s="180"/>
      <c r="C15" s="181" t="s">
        <v>148</v>
      </c>
      <c r="D15" s="182">
        <f>D17+D19+D22+D24+D27</f>
        <v>7464750</v>
      </c>
      <c r="E15" s="182">
        <f>E17+E19+E22+E24+E27</f>
        <v>7464750</v>
      </c>
      <c r="F15" s="182">
        <f aca="true" t="shared" si="0" ref="F15:O15">F17+F19+F22+F24</f>
        <v>4209014</v>
      </c>
      <c r="G15" s="182">
        <f t="shared" si="0"/>
        <v>680988</v>
      </c>
      <c r="H15" s="182"/>
      <c r="I15" s="182">
        <f t="shared" si="0"/>
        <v>0</v>
      </c>
      <c r="J15" s="182">
        <f t="shared" si="0"/>
        <v>0</v>
      </c>
      <c r="K15" s="182">
        <f t="shared" si="0"/>
        <v>0</v>
      </c>
      <c r="L15" s="182">
        <f t="shared" si="0"/>
        <v>0</v>
      </c>
      <c r="M15" s="182">
        <f t="shared" si="0"/>
        <v>0</v>
      </c>
      <c r="N15" s="182">
        <f t="shared" si="0"/>
        <v>0</v>
      </c>
      <c r="O15" s="183">
        <f t="shared" si="0"/>
        <v>0</v>
      </c>
      <c r="P15" s="184">
        <f>P17+P19+P22+P24+P27</f>
        <v>7464750</v>
      </c>
    </row>
    <row r="16" spans="1:16" ht="20.25" customHeight="1">
      <c r="A16" s="198"/>
      <c r="B16" s="199"/>
      <c r="C16" s="79" t="s">
        <v>25</v>
      </c>
      <c r="D16" s="85"/>
      <c r="E16" s="99"/>
      <c r="F16" s="86"/>
      <c r="G16" s="87"/>
      <c r="H16" s="86"/>
      <c r="I16" s="99"/>
      <c r="J16" s="86"/>
      <c r="K16" s="99"/>
      <c r="L16" s="86"/>
      <c r="M16" s="99"/>
      <c r="N16" s="86"/>
      <c r="O16" s="99"/>
      <c r="P16" s="135"/>
    </row>
    <row r="17" spans="1:16" ht="24" customHeight="1">
      <c r="A17" s="83" t="s">
        <v>26</v>
      </c>
      <c r="B17" s="200"/>
      <c r="C17" s="93" t="s">
        <v>27</v>
      </c>
      <c r="D17" s="80">
        <f>D18</f>
        <v>6338682</v>
      </c>
      <c r="E17" s="80">
        <f>E18</f>
        <v>6338682</v>
      </c>
      <c r="F17" s="80">
        <f>F18</f>
        <v>3534707</v>
      </c>
      <c r="G17" s="80">
        <f>G18</f>
        <v>629186</v>
      </c>
      <c r="H17" s="80"/>
      <c r="I17" s="80">
        <f>I18</f>
        <v>0</v>
      </c>
      <c r="J17" s="81">
        <v>0</v>
      </c>
      <c r="K17" s="81">
        <v>0</v>
      </c>
      <c r="L17" s="81">
        <v>0</v>
      </c>
      <c r="M17" s="81">
        <f>M18</f>
        <v>0</v>
      </c>
      <c r="N17" s="81">
        <f>N18</f>
        <v>0</v>
      </c>
      <c r="O17" s="82">
        <f>O18</f>
        <v>0</v>
      </c>
      <c r="P17" s="177">
        <f>D17+I17</f>
        <v>6338682</v>
      </c>
    </row>
    <row r="18" spans="1:16" ht="35.25" customHeight="1">
      <c r="A18" s="78" t="s">
        <v>28</v>
      </c>
      <c r="B18" s="161" t="s">
        <v>29</v>
      </c>
      <c r="C18" s="79" t="s">
        <v>30</v>
      </c>
      <c r="D18" s="80">
        <f>5326682+1012000</f>
        <v>6338682</v>
      </c>
      <c r="E18" s="80">
        <f>5326682+1012000</f>
        <v>6338682</v>
      </c>
      <c r="F18" s="81">
        <v>3534707</v>
      </c>
      <c r="G18" s="82">
        <f>629356-170</f>
        <v>629186</v>
      </c>
      <c r="H18" s="81"/>
      <c r="I18" s="80">
        <v>0</v>
      </c>
      <c r="J18" s="81">
        <v>0</v>
      </c>
      <c r="K18" s="81">
        <v>0</v>
      </c>
      <c r="L18" s="81">
        <v>0</v>
      </c>
      <c r="M18" s="81">
        <v>0</v>
      </c>
      <c r="N18" s="81">
        <v>0</v>
      </c>
      <c r="O18" s="82">
        <v>0</v>
      </c>
      <c r="P18" s="132">
        <f>D18+I18</f>
        <v>6338682</v>
      </c>
    </row>
    <row r="19" spans="1:16" ht="32.25" customHeight="1">
      <c r="A19" s="83" t="s">
        <v>31</v>
      </c>
      <c r="B19" s="162"/>
      <c r="C19" s="84" t="s">
        <v>32</v>
      </c>
      <c r="D19" s="80">
        <f>D20+D21</f>
        <v>914402</v>
      </c>
      <c r="E19" s="80">
        <f aca="true" t="shared" si="1" ref="E19:P19">E20+E21</f>
        <v>914402</v>
      </c>
      <c r="F19" s="80">
        <f t="shared" si="1"/>
        <v>674307</v>
      </c>
      <c r="G19" s="80">
        <f t="shared" si="1"/>
        <v>51802</v>
      </c>
      <c r="H19" s="80"/>
      <c r="I19" s="80">
        <f t="shared" si="1"/>
        <v>0</v>
      </c>
      <c r="J19" s="80">
        <f t="shared" si="1"/>
        <v>0</v>
      </c>
      <c r="K19" s="80">
        <f t="shared" si="1"/>
        <v>0</v>
      </c>
      <c r="L19" s="80">
        <f t="shared" si="1"/>
        <v>0</v>
      </c>
      <c r="M19" s="80">
        <f t="shared" si="1"/>
        <v>0</v>
      </c>
      <c r="N19" s="80">
        <f t="shared" si="1"/>
        <v>0</v>
      </c>
      <c r="O19" s="92">
        <f t="shared" si="1"/>
        <v>0</v>
      </c>
      <c r="P19" s="132">
        <f t="shared" si="1"/>
        <v>914402</v>
      </c>
    </row>
    <row r="20" spans="1:16" ht="32.25" customHeight="1">
      <c r="A20" s="269" t="s">
        <v>33</v>
      </c>
      <c r="B20" s="161" t="s">
        <v>34</v>
      </c>
      <c r="C20" s="191" t="s">
        <v>35</v>
      </c>
      <c r="D20" s="85">
        <f>896002+7200</f>
        <v>903202</v>
      </c>
      <c r="E20" s="85">
        <f>896002+7200</f>
        <v>903202</v>
      </c>
      <c r="F20" s="86">
        <v>674307</v>
      </c>
      <c r="G20" s="87">
        <v>51802</v>
      </c>
      <c r="H20" s="86"/>
      <c r="I20" s="85">
        <v>0</v>
      </c>
      <c r="J20" s="86">
        <v>0</v>
      </c>
      <c r="K20" s="86">
        <v>0</v>
      </c>
      <c r="L20" s="86">
        <v>0</v>
      </c>
      <c r="M20" s="86">
        <v>0</v>
      </c>
      <c r="N20" s="86">
        <v>0</v>
      </c>
      <c r="O20" s="87">
        <v>0</v>
      </c>
      <c r="P20" s="132">
        <f>D20+I20</f>
        <v>903202</v>
      </c>
    </row>
    <row r="21" spans="1:16" ht="30.75" customHeight="1">
      <c r="A21" s="269" t="s">
        <v>162</v>
      </c>
      <c r="B21" s="197" t="s">
        <v>34</v>
      </c>
      <c r="C21" s="270" t="s">
        <v>163</v>
      </c>
      <c r="D21" s="80">
        <v>11200</v>
      </c>
      <c r="E21" s="80">
        <v>11200</v>
      </c>
      <c r="F21" s="81">
        <v>0</v>
      </c>
      <c r="G21" s="82">
        <v>0</v>
      </c>
      <c r="H21" s="81"/>
      <c r="I21" s="80">
        <v>0</v>
      </c>
      <c r="J21" s="81">
        <v>0</v>
      </c>
      <c r="K21" s="81">
        <v>0</v>
      </c>
      <c r="L21" s="81">
        <v>0</v>
      </c>
      <c r="M21" s="81">
        <v>0</v>
      </c>
      <c r="N21" s="81">
        <v>0</v>
      </c>
      <c r="O21" s="82">
        <v>0</v>
      </c>
      <c r="P21" s="132">
        <f>D21+I21</f>
        <v>11200</v>
      </c>
    </row>
    <row r="22" spans="1:16" ht="21.75" customHeight="1">
      <c r="A22" s="83" t="s">
        <v>36</v>
      </c>
      <c r="B22" s="162"/>
      <c r="C22" s="88" t="s">
        <v>37</v>
      </c>
      <c r="D22" s="85">
        <f>D23</f>
        <v>159904</v>
      </c>
      <c r="E22" s="85">
        <f>E23</f>
        <v>159904</v>
      </c>
      <c r="F22" s="85">
        <f>F23</f>
        <v>0</v>
      </c>
      <c r="G22" s="85">
        <f>G23</f>
        <v>0</v>
      </c>
      <c r="H22" s="85"/>
      <c r="I22" s="85">
        <f aca="true" t="shared" si="2" ref="I22:O22">I23</f>
        <v>0</v>
      </c>
      <c r="J22" s="85">
        <f t="shared" si="2"/>
        <v>0</v>
      </c>
      <c r="K22" s="85">
        <f t="shared" si="2"/>
        <v>0</v>
      </c>
      <c r="L22" s="85">
        <f t="shared" si="2"/>
        <v>0</v>
      </c>
      <c r="M22" s="85">
        <f t="shared" si="2"/>
        <v>0</v>
      </c>
      <c r="N22" s="85">
        <f t="shared" si="2"/>
        <v>0</v>
      </c>
      <c r="O22" s="99">
        <f t="shared" si="2"/>
        <v>0</v>
      </c>
      <c r="P22" s="132">
        <f>D22+I22</f>
        <v>159904</v>
      </c>
    </row>
    <row r="23" spans="1:16" ht="36.75" customHeight="1" thickBot="1">
      <c r="A23" s="78" t="s">
        <v>38</v>
      </c>
      <c r="B23" s="161" t="s">
        <v>39</v>
      </c>
      <c r="C23" s="89" t="s">
        <v>40</v>
      </c>
      <c r="D23" s="80">
        <f>22700+137204</f>
        <v>159904</v>
      </c>
      <c r="E23" s="80">
        <f>22700+137204</f>
        <v>159904</v>
      </c>
      <c r="F23" s="81">
        <v>0</v>
      </c>
      <c r="G23" s="82">
        <v>0</v>
      </c>
      <c r="H23" s="81"/>
      <c r="I23" s="80">
        <v>0</v>
      </c>
      <c r="J23" s="81">
        <v>0</v>
      </c>
      <c r="K23" s="81">
        <v>0</v>
      </c>
      <c r="L23" s="81">
        <v>0</v>
      </c>
      <c r="M23" s="81">
        <v>0</v>
      </c>
      <c r="N23" s="81">
        <v>0</v>
      </c>
      <c r="O23" s="82">
        <v>0</v>
      </c>
      <c r="P23" s="177">
        <f>D23+I23</f>
        <v>159904</v>
      </c>
    </row>
    <row r="24" spans="1:16" ht="31.5" customHeight="1">
      <c r="A24" s="78" t="s">
        <v>164</v>
      </c>
      <c r="B24" s="161"/>
      <c r="C24" s="89" t="s">
        <v>165</v>
      </c>
      <c r="D24" s="80">
        <f aca="true" t="shared" si="3" ref="D24:I24">D25+D26</f>
        <v>16800</v>
      </c>
      <c r="E24" s="80">
        <f t="shared" si="3"/>
        <v>16800</v>
      </c>
      <c r="F24" s="80">
        <f t="shared" si="3"/>
        <v>0</v>
      </c>
      <c r="G24" s="80">
        <f t="shared" si="3"/>
        <v>0</v>
      </c>
      <c r="H24" s="80"/>
      <c r="I24" s="80">
        <f t="shared" si="3"/>
        <v>0</v>
      </c>
      <c r="J24" s="80">
        <f aca="true" t="shared" si="4" ref="J24:P24">J25+J26</f>
        <v>0</v>
      </c>
      <c r="K24" s="80">
        <f t="shared" si="4"/>
        <v>0</v>
      </c>
      <c r="L24" s="80">
        <f t="shared" si="4"/>
        <v>0</v>
      </c>
      <c r="M24" s="80">
        <f t="shared" si="4"/>
        <v>0</v>
      </c>
      <c r="N24" s="80">
        <f t="shared" si="4"/>
        <v>0</v>
      </c>
      <c r="O24" s="92">
        <f t="shared" si="4"/>
        <v>0</v>
      </c>
      <c r="P24" s="178">
        <f t="shared" si="4"/>
        <v>16800</v>
      </c>
    </row>
    <row r="25" spans="1:16" ht="36.75" customHeight="1">
      <c r="A25" s="78" t="s">
        <v>166</v>
      </c>
      <c r="B25" s="161" t="s">
        <v>168</v>
      </c>
      <c r="C25" s="89" t="s">
        <v>169</v>
      </c>
      <c r="D25" s="80">
        <v>5600</v>
      </c>
      <c r="E25" s="80">
        <v>5600</v>
      </c>
      <c r="F25" s="81">
        <v>0</v>
      </c>
      <c r="G25" s="82">
        <v>0</v>
      </c>
      <c r="H25" s="81"/>
      <c r="I25" s="80">
        <v>0</v>
      </c>
      <c r="J25" s="81">
        <v>0</v>
      </c>
      <c r="K25" s="81">
        <v>0</v>
      </c>
      <c r="L25" s="81">
        <v>0</v>
      </c>
      <c r="M25" s="81">
        <v>0</v>
      </c>
      <c r="N25" s="81">
        <v>0</v>
      </c>
      <c r="O25" s="82">
        <v>0</v>
      </c>
      <c r="P25" s="132">
        <f aca="true" t="shared" si="5" ref="P25:P30">D25+I25</f>
        <v>5600</v>
      </c>
    </row>
    <row r="26" spans="1:16" ht="37.5" customHeight="1">
      <c r="A26" s="78" t="s">
        <v>167</v>
      </c>
      <c r="B26" s="161" t="s">
        <v>168</v>
      </c>
      <c r="C26" s="89" t="s">
        <v>170</v>
      </c>
      <c r="D26" s="80">
        <v>11200</v>
      </c>
      <c r="E26" s="80">
        <v>11200</v>
      </c>
      <c r="F26" s="81">
        <v>0</v>
      </c>
      <c r="G26" s="82">
        <v>0</v>
      </c>
      <c r="H26" s="81"/>
      <c r="I26" s="80">
        <v>0</v>
      </c>
      <c r="J26" s="81">
        <v>0</v>
      </c>
      <c r="K26" s="81">
        <v>0</v>
      </c>
      <c r="L26" s="81">
        <v>0</v>
      </c>
      <c r="M26" s="81">
        <v>0</v>
      </c>
      <c r="N26" s="81">
        <v>0</v>
      </c>
      <c r="O26" s="82">
        <v>0</v>
      </c>
      <c r="P26" s="132">
        <f t="shared" si="5"/>
        <v>11200</v>
      </c>
    </row>
    <row r="27" spans="1:16" ht="31.5" customHeight="1">
      <c r="A27" s="193" t="s">
        <v>177</v>
      </c>
      <c r="B27" s="220"/>
      <c r="C27" s="194" t="s">
        <v>178</v>
      </c>
      <c r="D27" s="80">
        <f>D28</f>
        <v>34962</v>
      </c>
      <c r="E27" s="80">
        <f>E28</f>
        <v>34962</v>
      </c>
      <c r="F27" s="80">
        <v>0</v>
      </c>
      <c r="G27" s="92">
        <v>0</v>
      </c>
      <c r="H27" s="81"/>
      <c r="I27" s="80">
        <v>0</v>
      </c>
      <c r="J27" s="80">
        <v>0</v>
      </c>
      <c r="K27" s="80">
        <v>0</v>
      </c>
      <c r="L27" s="80">
        <v>0</v>
      </c>
      <c r="M27" s="80">
        <v>0</v>
      </c>
      <c r="N27" s="80">
        <v>0</v>
      </c>
      <c r="O27" s="92">
        <v>0</v>
      </c>
      <c r="P27" s="132">
        <f t="shared" si="5"/>
        <v>34962</v>
      </c>
    </row>
    <row r="28" spans="1:16" ht="35.25" customHeight="1">
      <c r="A28" s="333" t="s">
        <v>173</v>
      </c>
      <c r="B28" s="192" t="s">
        <v>174</v>
      </c>
      <c r="C28" s="89" t="s">
        <v>176</v>
      </c>
      <c r="D28" s="80">
        <v>34962</v>
      </c>
      <c r="E28" s="80">
        <v>34962</v>
      </c>
      <c r="F28" s="80">
        <v>0</v>
      </c>
      <c r="G28" s="92">
        <v>0</v>
      </c>
      <c r="H28" s="81"/>
      <c r="I28" s="80">
        <v>0</v>
      </c>
      <c r="J28" s="80">
        <v>0</v>
      </c>
      <c r="K28" s="80">
        <v>0</v>
      </c>
      <c r="L28" s="80">
        <v>0</v>
      </c>
      <c r="M28" s="80">
        <v>0</v>
      </c>
      <c r="N28" s="80">
        <v>0</v>
      </c>
      <c r="O28" s="92">
        <v>0</v>
      </c>
      <c r="P28" s="132">
        <f t="shared" si="5"/>
        <v>34962</v>
      </c>
    </row>
    <row r="29" spans="1:16" ht="33.75" customHeight="1">
      <c r="A29" s="334"/>
      <c r="B29" s="192"/>
      <c r="C29" s="89" t="s">
        <v>180</v>
      </c>
      <c r="D29" s="80">
        <v>34962</v>
      </c>
      <c r="E29" s="80">
        <v>34962</v>
      </c>
      <c r="F29" s="80">
        <v>0</v>
      </c>
      <c r="G29" s="81">
        <v>0</v>
      </c>
      <c r="H29" s="80"/>
      <c r="I29" s="80">
        <v>0</v>
      </c>
      <c r="J29" s="80">
        <v>0</v>
      </c>
      <c r="K29" s="80">
        <v>0</v>
      </c>
      <c r="L29" s="80">
        <v>0</v>
      </c>
      <c r="M29" s="80">
        <v>0</v>
      </c>
      <c r="N29" s="80">
        <v>0</v>
      </c>
      <c r="O29" s="92">
        <v>0</v>
      </c>
      <c r="P29" s="132">
        <f t="shared" si="5"/>
        <v>34962</v>
      </c>
    </row>
    <row r="30" spans="1:16" ht="38.25" customHeight="1">
      <c r="A30" s="78"/>
      <c r="B30" s="163"/>
      <c r="C30" s="90" t="s">
        <v>149</v>
      </c>
      <c r="D30" s="80">
        <f>D32+D34</f>
        <v>15629953</v>
      </c>
      <c r="E30" s="80">
        <f aca="true" t="shared" si="6" ref="E30:O30">E32+E34</f>
        <v>15629953</v>
      </c>
      <c r="F30" s="80">
        <f t="shared" si="6"/>
        <v>179447</v>
      </c>
      <c r="G30" s="80">
        <f t="shared" si="6"/>
        <v>44720</v>
      </c>
      <c r="H30" s="80"/>
      <c r="I30" s="80">
        <f t="shared" si="6"/>
        <v>41421</v>
      </c>
      <c r="J30" s="80">
        <f t="shared" si="6"/>
        <v>26741</v>
      </c>
      <c r="K30" s="80">
        <f t="shared" si="6"/>
        <v>0</v>
      </c>
      <c r="L30" s="80">
        <f t="shared" si="6"/>
        <v>0</v>
      </c>
      <c r="M30" s="80">
        <f t="shared" si="6"/>
        <v>14680</v>
      </c>
      <c r="N30" s="80">
        <f t="shared" si="6"/>
        <v>14680</v>
      </c>
      <c r="O30" s="92">
        <f t="shared" si="6"/>
        <v>14680</v>
      </c>
      <c r="P30" s="132">
        <f t="shared" si="5"/>
        <v>15671374</v>
      </c>
    </row>
    <row r="31" spans="1:16" ht="24.75" customHeight="1">
      <c r="A31" s="78"/>
      <c r="B31" s="163"/>
      <c r="C31" s="91" t="s">
        <v>41</v>
      </c>
      <c r="D31" s="92"/>
      <c r="E31" s="81"/>
      <c r="F31" s="82"/>
      <c r="G31" s="82"/>
      <c r="H31" s="81"/>
      <c r="I31" s="80"/>
      <c r="J31" s="80"/>
      <c r="K31" s="81"/>
      <c r="L31" s="81"/>
      <c r="M31" s="81"/>
      <c r="N31" s="81"/>
      <c r="O31" s="82"/>
      <c r="P31" s="132"/>
    </row>
    <row r="32" spans="1:16" ht="35.25" customHeight="1">
      <c r="A32" s="83" t="s">
        <v>26</v>
      </c>
      <c r="B32" s="162"/>
      <c r="C32" s="93" t="s">
        <v>27</v>
      </c>
      <c r="D32" s="5">
        <f>D33</f>
        <v>306626</v>
      </c>
      <c r="E32" s="86">
        <f>E33</f>
        <v>306626</v>
      </c>
      <c r="F32" s="5">
        <f>F33</f>
        <v>179447</v>
      </c>
      <c r="G32" s="86">
        <f>G33</f>
        <v>21720</v>
      </c>
      <c r="H32" s="94"/>
      <c r="I32" s="96">
        <f>I33</f>
        <v>14680</v>
      </c>
      <c r="J32" s="96">
        <f aca="true" t="shared" si="7" ref="J32:P32">J33</f>
        <v>0</v>
      </c>
      <c r="K32" s="96">
        <f t="shared" si="7"/>
        <v>0</v>
      </c>
      <c r="L32" s="96">
        <f t="shared" si="7"/>
        <v>0</v>
      </c>
      <c r="M32" s="96">
        <f t="shared" si="7"/>
        <v>14680</v>
      </c>
      <c r="N32" s="96">
        <f t="shared" si="7"/>
        <v>14680</v>
      </c>
      <c r="O32" s="175">
        <f t="shared" si="7"/>
        <v>14680</v>
      </c>
      <c r="P32" s="148">
        <f t="shared" si="7"/>
        <v>321306</v>
      </c>
    </row>
    <row r="33" spans="1:16" ht="28.5" customHeight="1">
      <c r="A33" s="78" t="s">
        <v>28</v>
      </c>
      <c r="B33" s="161" t="s">
        <v>29</v>
      </c>
      <c r="C33" s="191" t="s">
        <v>30</v>
      </c>
      <c r="D33" s="85">
        <f>270596+36030</f>
        <v>306626</v>
      </c>
      <c r="E33" s="85">
        <f>270596+36030</f>
        <v>306626</v>
      </c>
      <c r="F33" s="86">
        <v>179447</v>
      </c>
      <c r="G33" s="87">
        <v>21720</v>
      </c>
      <c r="H33" s="86"/>
      <c r="I33" s="85">
        <f>J33+M33</f>
        <v>14680</v>
      </c>
      <c r="J33" s="86">
        <v>0</v>
      </c>
      <c r="K33" s="86">
        <v>0</v>
      </c>
      <c r="L33" s="86">
        <v>0</v>
      </c>
      <c r="M33" s="86">
        <v>14680</v>
      </c>
      <c r="N33" s="86">
        <v>14680</v>
      </c>
      <c r="O33" s="87">
        <v>14680</v>
      </c>
      <c r="P33" s="132">
        <f aca="true" t="shared" si="8" ref="P33:P38">D33+I33</f>
        <v>321306</v>
      </c>
    </row>
    <row r="34" spans="1:16" ht="33.75" customHeight="1">
      <c r="A34" s="95" t="s">
        <v>42</v>
      </c>
      <c r="B34" s="164"/>
      <c r="C34" s="93" t="s">
        <v>43</v>
      </c>
      <c r="D34" s="96">
        <f>D35</f>
        <v>15323327</v>
      </c>
      <c r="E34" s="96">
        <f>E35</f>
        <v>15323327</v>
      </c>
      <c r="F34" s="94">
        <f>F35</f>
        <v>0</v>
      </c>
      <c r="G34" s="94">
        <f>G35</f>
        <v>23000</v>
      </c>
      <c r="H34" s="94"/>
      <c r="I34" s="94">
        <f aca="true" t="shared" si="9" ref="I34:O34">I35</f>
        <v>26741</v>
      </c>
      <c r="J34" s="94">
        <f t="shared" si="9"/>
        <v>26741</v>
      </c>
      <c r="K34" s="94">
        <f t="shared" si="9"/>
        <v>0</v>
      </c>
      <c r="L34" s="94">
        <f t="shared" si="9"/>
        <v>0</v>
      </c>
      <c r="M34" s="94">
        <f t="shared" si="9"/>
        <v>0</v>
      </c>
      <c r="N34" s="94">
        <f t="shared" si="9"/>
        <v>0</v>
      </c>
      <c r="O34" s="141">
        <f t="shared" si="9"/>
        <v>0</v>
      </c>
      <c r="P34" s="142">
        <f t="shared" si="8"/>
        <v>15350068</v>
      </c>
    </row>
    <row r="35" spans="1:16" ht="30.75" customHeight="1">
      <c r="A35" s="337" t="s">
        <v>44</v>
      </c>
      <c r="B35" s="161" t="s">
        <v>45</v>
      </c>
      <c r="C35" s="191" t="s">
        <v>46</v>
      </c>
      <c r="D35" s="195">
        <f>866326+14347100+109901</f>
        <v>15323327</v>
      </c>
      <c r="E35" s="195">
        <f>866326+14347100+109901</f>
        <v>15323327</v>
      </c>
      <c r="F35" s="196">
        <v>0</v>
      </c>
      <c r="G35" s="196">
        <v>23000</v>
      </c>
      <c r="H35" s="86"/>
      <c r="I35" s="86">
        <v>26741</v>
      </c>
      <c r="J35" s="86">
        <v>26741</v>
      </c>
      <c r="K35" s="86">
        <v>0</v>
      </c>
      <c r="L35" s="86">
        <v>0</v>
      </c>
      <c r="M35" s="86">
        <v>0</v>
      </c>
      <c r="N35" s="86">
        <v>0</v>
      </c>
      <c r="O35" s="87">
        <v>0</v>
      </c>
      <c r="P35" s="132">
        <f t="shared" si="8"/>
        <v>15350068</v>
      </c>
    </row>
    <row r="36" spans="1:16" ht="30.75" customHeight="1">
      <c r="A36" s="337"/>
      <c r="B36" s="161"/>
      <c r="C36" s="191" t="s">
        <v>181</v>
      </c>
      <c r="D36" s="195">
        <v>109901</v>
      </c>
      <c r="E36" s="195">
        <v>109901</v>
      </c>
      <c r="F36" s="196">
        <v>0</v>
      </c>
      <c r="G36" s="196">
        <v>0</v>
      </c>
      <c r="H36" s="86"/>
      <c r="I36" s="86">
        <v>0</v>
      </c>
      <c r="J36" s="86">
        <v>0</v>
      </c>
      <c r="K36" s="86">
        <v>0</v>
      </c>
      <c r="L36" s="86">
        <v>0</v>
      </c>
      <c r="M36" s="86">
        <v>0</v>
      </c>
      <c r="N36" s="86">
        <v>0</v>
      </c>
      <c r="O36" s="87">
        <v>0</v>
      </c>
      <c r="P36" s="132">
        <f t="shared" si="8"/>
        <v>109901</v>
      </c>
    </row>
    <row r="37" spans="1:16" ht="36" customHeight="1" thickBot="1">
      <c r="A37" s="337"/>
      <c r="B37" s="161"/>
      <c r="C37" s="89" t="s">
        <v>145</v>
      </c>
      <c r="D37" s="195">
        <v>50000</v>
      </c>
      <c r="E37" s="195">
        <v>50000</v>
      </c>
      <c r="F37" s="196">
        <v>0</v>
      </c>
      <c r="G37" s="196">
        <v>0</v>
      </c>
      <c r="H37" s="86"/>
      <c r="I37" s="81">
        <v>0</v>
      </c>
      <c r="J37" s="81">
        <v>0</v>
      </c>
      <c r="K37" s="81">
        <v>0</v>
      </c>
      <c r="L37" s="81">
        <v>0</v>
      </c>
      <c r="M37" s="81">
        <v>0</v>
      </c>
      <c r="N37" s="81">
        <v>0</v>
      </c>
      <c r="O37" s="82">
        <v>0</v>
      </c>
      <c r="P37" s="132">
        <f t="shared" si="8"/>
        <v>50000</v>
      </c>
    </row>
    <row r="38" spans="1:18" ht="33.75" customHeight="1">
      <c r="A38" s="185"/>
      <c r="B38" s="186"/>
      <c r="C38" s="187" t="s">
        <v>150</v>
      </c>
      <c r="D38" s="97">
        <f>D41+D46+D48+D53+D55+D57+D59+D61+D63+D65+D67+D69+D71+D73+D75+D77+D79+D81+D83+D85+D87+D88+D89+D43+D50+D92</f>
        <v>194013845.71</v>
      </c>
      <c r="E38" s="97">
        <f>E41+E46+E48+E53+E55+E57+E59+E61+E63+E65+E67+E69+E71+E73+E75+E77+E79+E81+E83+E85+E87+E88+E89+E43+E50+E92</f>
        <v>194013845.71</v>
      </c>
      <c r="F38" s="97">
        <f>F41+F46+F48+F50+F55+F57+F59+F61+F63+F65+F67+F69+F71+F73+F75+F77+F79+F81+F85+F88+F89+F43+F87+F53+F83</f>
        <v>8638576.5</v>
      </c>
      <c r="G38" s="97">
        <f>G41+G46+G48+G50+G55+G57+G59+G61+G63+G65+G67+G69+G71+G73+G75+G77+G79+G81+G85+G88+G89+G43+G87+G53</f>
        <v>800009</v>
      </c>
      <c r="H38" s="97"/>
      <c r="I38" s="97">
        <f>I41+I46+I48+I50+I55+I57+I59+I61+I63+I65+I67+I69+I71+I73+I75+I77+I79+I81+I85+I88+I89+I43+I87+I53</f>
        <v>329377</v>
      </c>
      <c r="J38" s="97">
        <f aca="true" t="shared" si="10" ref="J38:O38">J41+J46+J48+J50+J55+J57+J59+J61+J63+J65+J67+J69+J71+J73+J75+J77+J79+J81+J85+J88+J89+J43+J87+J53</f>
        <v>46127</v>
      </c>
      <c r="K38" s="97">
        <f t="shared" si="10"/>
        <v>33711</v>
      </c>
      <c r="L38" s="97">
        <f t="shared" si="10"/>
        <v>0</v>
      </c>
      <c r="M38" s="97">
        <f t="shared" si="10"/>
        <v>283250</v>
      </c>
      <c r="N38" s="97">
        <f t="shared" si="10"/>
        <v>283250</v>
      </c>
      <c r="O38" s="143">
        <f t="shared" si="10"/>
        <v>283250</v>
      </c>
      <c r="P38" s="144">
        <f t="shared" si="8"/>
        <v>194343222.71</v>
      </c>
      <c r="R38" s="219"/>
    </row>
    <row r="39" spans="1:16" ht="26.25" customHeight="1">
      <c r="A39" s="170"/>
      <c r="B39" s="163"/>
      <c r="C39" s="98" t="s">
        <v>41</v>
      </c>
      <c r="D39" s="85"/>
      <c r="E39" s="85"/>
      <c r="F39" s="85"/>
      <c r="G39" s="99"/>
      <c r="H39" s="86"/>
      <c r="I39" s="85"/>
      <c r="J39" s="85"/>
      <c r="K39" s="85"/>
      <c r="L39" s="85"/>
      <c r="M39" s="85"/>
      <c r="N39" s="85"/>
      <c r="O39" s="99"/>
      <c r="P39" s="135"/>
    </row>
    <row r="40" spans="1:16" ht="29.25" customHeight="1">
      <c r="A40" s="83" t="s">
        <v>26</v>
      </c>
      <c r="B40" s="162"/>
      <c r="C40" s="93" t="s">
        <v>27</v>
      </c>
      <c r="D40" s="85">
        <f>D41</f>
        <v>7689577</v>
      </c>
      <c r="E40" s="85">
        <f>E41</f>
        <v>7689577</v>
      </c>
      <c r="F40" s="86">
        <f>F41</f>
        <v>5120500</v>
      </c>
      <c r="G40" s="87">
        <f>G41</f>
        <v>565443</v>
      </c>
      <c r="H40" s="86"/>
      <c r="I40" s="85">
        <f>I41</f>
        <v>208000</v>
      </c>
      <c r="J40" s="85">
        <f aca="true" t="shared" si="11" ref="J40:P40">J41</f>
        <v>0</v>
      </c>
      <c r="K40" s="85">
        <f t="shared" si="11"/>
        <v>0</v>
      </c>
      <c r="L40" s="85">
        <f t="shared" si="11"/>
        <v>0</v>
      </c>
      <c r="M40" s="85">
        <f t="shared" si="11"/>
        <v>208000</v>
      </c>
      <c r="N40" s="85">
        <f t="shared" si="11"/>
        <v>208000</v>
      </c>
      <c r="O40" s="99">
        <f t="shared" si="11"/>
        <v>208000</v>
      </c>
      <c r="P40" s="135">
        <f t="shared" si="11"/>
        <v>7897577</v>
      </c>
    </row>
    <row r="41" spans="1:16" ht="29.25" customHeight="1">
      <c r="A41" s="171" t="s">
        <v>28</v>
      </c>
      <c r="B41" s="161" t="s">
        <v>29</v>
      </c>
      <c r="C41" s="264" t="s">
        <v>30</v>
      </c>
      <c r="D41" s="85">
        <f>7517967+158110+13500</f>
        <v>7689577</v>
      </c>
      <c r="E41" s="85">
        <f>7517967+158110+13500</f>
        <v>7689577</v>
      </c>
      <c r="F41" s="86">
        <f>5120500</f>
        <v>5120500</v>
      </c>
      <c r="G41" s="87">
        <v>565443</v>
      </c>
      <c r="H41" s="86"/>
      <c r="I41" s="85">
        <f>221500-13500</f>
        <v>208000</v>
      </c>
      <c r="J41" s="86">
        <v>0</v>
      </c>
      <c r="K41" s="86">
        <v>0</v>
      </c>
      <c r="L41" s="86">
        <v>0</v>
      </c>
      <c r="M41" s="86">
        <f>221500-13500</f>
        <v>208000</v>
      </c>
      <c r="N41" s="86">
        <f>221500-13500</f>
        <v>208000</v>
      </c>
      <c r="O41" s="87">
        <f>221500-13500</f>
        <v>208000</v>
      </c>
      <c r="P41" s="135">
        <f aca="true" t="shared" si="12" ref="P41:P50">D41+I41</f>
        <v>7897577</v>
      </c>
    </row>
    <row r="42" spans="1:16" ht="38.25" customHeight="1">
      <c r="A42" s="83" t="s">
        <v>94</v>
      </c>
      <c r="B42" s="166"/>
      <c r="C42" s="116" t="s">
        <v>95</v>
      </c>
      <c r="D42" s="85">
        <f>D43</f>
        <v>1087333</v>
      </c>
      <c r="E42" s="85">
        <f>E43</f>
        <v>1087333</v>
      </c>
      <c r="F42" s="85">
        <f>F43</f>
        <v>0</v>
      </c>
      <c r="G42" s="85">
        <f>G43</f>
        <v>0</v>
      </c>
      <c r="H42" s="85"/>
      <c r="I42" s="85">
        <f aca="true" t="shared" si="13" ref="I42:O42">I43</f>
        <v>0</v>
      </c>
      <c r="J42" s="85">
        <f t="shared" si="13"/>
        <v>0</v>
      </c>
      <c r="K42" s="85">
        <f t="shared" si="13"/>
        <v>0</v>
      </c>
      <c r="L42" s="85">
        <f t="shared" si="13"/>
        <v>0</v>
      </c>
      <c r="M42" s="85">
        <f t="shared" si="13"/>
        <v>0</v>
      </c>
      <c r="N42" s="85">
        <f t="shared" si="13"/>
        <v>0</v>
      </c>
      <c r="O42" s="99">
        <f t="shared" si="13"/>
        <v>0</v>
      </c>
      <c r="P42" s="135">
        <f>D42+I42</f>
        <v>1087333</v>
      </c>
    </row>
    <row r="43" spans="1:16" ht="33" customHeight="1">
      <c r="A43" s="337" t="s">
        <v>96</v>
      </c>
      <c r="B43" s="161" t="s">
        <v>97</v>
      </c>
      <c r="C43" s="201" t="s">
        <v>98</v>
      </c>
      <c r="D43" s="85">
        <f>D44</f>
        <v>1087333</v>
      </c>
      <c r="E43" s="85">
        <f>E44</f>
        <v>1087333</v>
      </c>
      <c r="F43" s="86">
        <v>0</v>
      </c>
      <c r="G43" s="87">
        <v>0</v>
      </c>
      <c r="H43" s="86"/>
      <c r="I43" s="85">
        <f>I44</f>
        <v>0</v>
      </c>
      <c r="J43" s="86">
        <v>0</v>
      </c>
      <c r="K43" s="86">
        <v>0</v>
      </c>
      <c r="L43" s="86">
        <v>0</v>
      </c>
      <c r="M43" s="86">
        <v>0</v>
      </c>
      <c r="N43" s="86">
        <v>0</v>
      </c>
      <c r="O43" s="87">
        <v>0</v>
      </c>
      <c r="P43" s="135">
        <f>D43+I43</f>
        <v>1087333</v>
      </c>
    </row>
    <row r="44" spans="1:16" ht="84" customHeight="1">
      <c r="A44" s="337"/>
      <c r="B44" s="163"/>
      <c r="C44" s="202" t="s">
        <v>143</v>
      </c>
      <c r="D44" s="85">
        <f>1160633-73300</f>
        <v>1087333</v>
      </c>
      <c r="E44" s="85">
        <f>1160633-73300</f>
        <v>1087333</v>
      </c>
      <c r="F44" s="86">
        <v>0</v>
      </c>
      <c r="G44" s="87">
        <v>0</v>
      </c>
      <c r="H44" s="86"/>
      <c r="I44" s="85">
        <v>0</v>
      </c>
      <c r="J44" s="86">
        <v>0</v>
      </c>
      <c r="K44" s="86">
        <v>0</v>
      </c>
      <c r="L44" s="86">
        <v>0</v>
      </c>
      <c r="M44" s="86">
        <v>0</v>
      </c>
      <c r="N44" s="86">
        <v>0</v>
      </c>
      <c r="O44" s="87">
        <v>0</v>
      </c>
      <c r="P44" s="135">
        <f>D44+I44</f>
        <v>1087333</v>
      </c>
    </row>
    <row r="45" spans="1:16" ht="29.25" customHeight="1">
      <c r="A45" s="100" t="s">
        <v>31</v>
      </c>
      <c r="B45" s="165"/>
      <c r="C45" s="101" t="s">
        <v>32</v>
      </c>
      <c r="D45" s="85">
        <f>D46+D48+D50+D53+D55+D57+D59+D61+D63+D65+D67+D69+D71+D73+D75+D77+D79+D81+D85+D87+D88+D89+D83</f>
        <v>184404935.71</v>
      </c>
      <c r="E45" s="85">
        <f aca="true" t="shared" si="14" ref="E45:O45">E46+E48+E50+E53+E55+E57+E59+E61+E63+E65+E67+E69+E71+E73+E75+E77+E79+E81+E85+E87+E88+E89</f>
        <v>184298639.71</v>
      </c>
      <c r="F45" s="85">
        <f t="shared" si="14"/>
        <v>3430949</v>
      </c>
      <c r="G45" s="85">
        <f t="shared" si="14"/>
        <v>234566</v>
      </c>
      <c r="H45" s="85"/>
      <c r="I45" s="85">
        <f t="shared" si="14"/>
        <v>121377</v>
      </c>
      <c r="J45" s="85">
        <f t="shared" si="14"/>
        <v>46127</v>
      </c>
      <c r="K45" s="85">
        <f t="shared" si="14"/>
        <v>33711</v>
      </c>
      <c r="L45" s="85">
        <f t="shared" si="14"/>
        <v>0</v>
      </c>
      <c r="M45" s="85">
        <f t="shared" si="14"/>
        <v>75250</v>
      </c>
      <c r="N45" s="85">
        <f t="shared" si="14"/>
        <v>75250</v>
      </c>
      <c r="O45" s="99">
        <f t="shared" si="14"/>
        <v>75250</v>
      </c>
      <c r="P45" s="135">
        <f t="shared" si="12"/>
        <v>184526312.71</v>
      </c>
    </row>
    <row r="46" spans="1:16" ht="125.25" customHeight="1">
      <c r="A46" s="188" t="s">
        <v>48</v>
      </c>
      <c r="B46" s="161" t="s">
        <v>49</v>
      </c>
      <c r="C46" s="191" t="s">
        <v>126</v>
      </c>
      <c r="D46" s="85">
        <f>D47</f>
        <v>10250143.09</v>
      </c>
      <c r="E46" s="85">
        <f>E47</f>
        <v>10250143.09</v>
      </c>
      <c r="F46" s="86">
        <v>0</v>
      </c>
      <c r="G46" s="87">
        <v>0</v>
      </c>
      <c r="H46" s="86"/>
      <c r="I46" s="85">
        <f>I47</f>
        <v>0</v>
      </c>
      <c r="J46" s="86">
        <v>0</v>
      </c>
      <c r="K46" s="86">
        <v>0</v>
      </c>
      <c r="L46" s="86">
        <v>0</v>
      </c>
      <c r="M46" s="86">
        <v>0</v>
      </c>
      <c r="N46" s="86">
        <v>0</v>
      </c>
      <c r="O46" s="87">
        <v>0</v>
      </c>
      <c r="P46" s="135">
        <f t="shared" si="12"/>
        <v>10250143.09</v>
      </c>
    </row>
    <row r="47" spans="1:16" ht="71.25" customHeight="1">
      <c r="A47" s="188"/>
      <c r="B47" s="161"/>
      <c r="C47" s="203" t="s">
        <v>137</v>
      </c>
      <c r="D47" s="102">
        <f>14479774-6402725.32+2173094.41</f>
        <v>10250143.09</v>
      </c>
      <c r="E47" s="102">
        <f>14479774-6402725.32+2173094.41</f>
        <v>10250143.09</v>
      </c>
      <c r="F47" s="103">
        <v>0</v>
      </c>
      <c r="G47" s="104">
        <v>0</v>
      </c>
      <c r="H47" s="103"/>
      <c r="I47" s="102">
        <v>0</v>
      </c>
      <c r="J47" s="103">
        <v>0</v>
      </c>
      <c r="K47" s="103">
        <v>0</v>
      </c>
      <c r="L47" s="103">
        <v>0</v>
      </c>
      <c r="M47" s="103">
        <v>0</v>
      </c>
      <c r="N47" s="103">
        <v>0</v>
      </c>
      <c r="O47" s="104">
        <v>0</v>
      </c>
      <c r="P47" s="135">
        <f t="shared" si="12"/>
        <v>10250143.09</v>
      </c>
    </row>
    <row r="48" spans="1:16" ht="105" customHeight="1">
      <c r="A48" s="172" t="s">
        <v>50</v>
      </c>
      <c r="B48" s="271" t="s">
        <v>49</v>
      </c>
      <c r="C48" s="272" t="s">
        <v>127</v>
      </c>
      <c r="D48" s="103">
        <f>D49</f>
        <v>363.3100000000001</v>
      </c>
      <c r="E48" s="102">
        <f>E49</f>
        <v>363.3100000000001</v>
      </c>
      <c r="F48" s="103">
        <v>0</v>
      </c>
      <c r="G48" s="104">
        <v>0</v>
      </c>
      <c r="H48" s="103"/>
      <c r="I48" s="102">
        <f>I49</f>
        <v>0</v>
      </c>
      <c r="J48" s="103">
        <v>0</v>
      </c>
      <c r="K48" s="103">
        <v>0</v>
      </c>
      <c r="L48" s="103">
        <v>0</v>
      </c>
      <c r="M48" s="103">
        <v>0</v>
      </c>
      <c r="N48" s="103">
        <v>0</v>
      </c>
      <c r="O48" s="104">
        <v>0</v>
      </c>
      <c r="P48" s="134">
        <f t="shared" si="12"/>
        <v>363.3100000000001</v>
      </c>
    </row>
    <row r="49" spans="1:16" ht="39" customHeight="1">
      <c r="A49" s="188"/>
      <c r="B49" s="161"/>
      <c r="C49" s="101" t="s">
        <v>138</v>
      </c>
      <c r="D49" s="85">
        <f>1470-1413.37+363.31-56.63</f>
        <v>363.3100000000001</v>
      </c>
      <c r="E49" s="85">
        <f>1470-1413.37+363.31-56.63</f>
        <v>363.3100000000001</v>
      </c>
      <c r="F49" s="86">
        <v>0</v>
      </c>
      <c r="G49" s="86">
        <v>0</v>
      </c>
      <c r="H49" s="86"/>
      <c r="I49" s="86">
        <v>0</v>
      </c>
      <c r="J49" s="86">
        <v>0</v>
      </c>
      <c r="K49" s="86">
        <v>0</v>
      </c>
      <c r="L49" s="86">
        <v>0</v>
      </c>
      <c r="M49" s="86">
        <v>0</v>
      </c>
      <c r="N49" s="86">
        <v>0</v>
      </c>
      <c r="O49" s="87">
        <v>0</v>
      </c>
      <c r="P49" s="135">
        <f t="shared" si="12"/>
        <v>363.3100000000001</v>
      </c>
    </row>
    <row r="50" spans="1:16" ht="238.5" customHeight="1" thickBot="1">
      <c r="A50" s="204" t="s">
        <v>51</v>
      </c>
      <c r="B50" s="189" t="s">
        <v>49</v>
      </c>
      <c r="C50" s="205" t="s">
        <v>158</v>
      </c>
      <c r="D50" s="105">
        <f>D52</f>
        <v>3212378.5</v>
      </c>
      <c r="E50" s="105">
        <f>E52</f>
        <v>3212378.5</v>
      </c>
      <c r="F50" s="106">
        <v>0</v>
      </c>
      <c r="G50" s="107">
        <v>0</v>
      </c>
      <c r="H50" s="106"/>
      <c r="I50" s="105">
        <f>I52</f>
        <v>0</v>
      </c>
      <c r="J50" s="106">
        <v>0</v>
      </c>
      <c r="K50" s="106">
        <v>0</v>
      </c>
      <c r="L50" s="106">
        <v>0</v>
      </c>
      <c r="M50" s="106">
        <v>0</v>
      </c>
      <c r="N50" s="106">
        <v>0</v>
      </c>
      <c r="O50" s="107">
        <v>0</v>
      </c>
      <c r="P50" s="145">
        <f t="shared" si="12"/>
        <v>3212378.5</v>
      </c>
    </row>
    <row r="51" spans="1:16" ht="152.25" customHeight="1">
      <c r="A51" s="206"/>
      <c r="B51" s="186"/>
      <c r="C51" s="207" t="s">
        <v>159</v>
      </c>
      <c r="D51" s="108"/>
      <c r="E51" s="108"/>
      <c r="F51" s="109"/>
      <c r="G51" s="110"/>
      <c r="H51" s="109"/>
      <c r="I51" s="108"/>
      <c r="J51" s="109"/>
      <c r="K51" s="109"/>
      <c r="L51" s="109"/>
      <c r="M51" s="109"/>
      <c r="N51" s="109"/>
      <c r="O51" s="110"/>
      <c r="P51" s="146"/>
    </row>
    <row r="52" spans="1:16" ht="70.5" customHeight="1">
      <c r="A52" s="173"/>
      <c r="B52" s="163"/>
      <c r="C52" s="208" t="s">
        <v>139</v>
      </c>
      <c r="D52" s="85">
        <f>3658165-1474437.02+1028650.52</f>
        <v>3212378.5</v>
      </c>
      <c r="E52" s="85">
        <f>3658165-1474437.02+1028650.52</f>
        <v>3212378.5</v>
      </c>
      <c r="F52" s="86">
        <v>0</v>
      </c>
      <c r="G52" s="87">
        <v>0</v>
      </c>
      <c r="H52" s="86"/>
      <c r="I52" s="85">
        <v>0</v>
      </c>
      <c r="J52" s="86">
        <v>0</v>
      </c>
      <c r="K52" s="86">
        <v>0</v>
      </c>
      <c r="L52" s="86">
        <v>0</v>
      </c>
      <c r="M52" s="86">
        <v>0</v>
      </c>
      <c r="N52" s="86">
        <v>0</v>
      </c>
      <c r="O52" s="87">
        <v>0</v>
      </c>
      <c r="P52" s="135">
        <f aca="true" t="shared" si="15" ref="P52:P84">D52+I52</f>
        <v>3212378.5</v>
      </c>
    </row>
    <row r="53" spans="1:16" ht="54" customHeight="1">
      <c r="A53" s="188" t="s">
        <v>52</v>
      </c>
      <c r="B53" s="161" t="s">
        <v>53</v>
      </c>
      <c r="C53" s="191" t="s">
        <v>128</v>
      </c>
      <c r="D53" s="85">
        <f>D54</f>
        <v>1949028.44</v>
      </c>
      <c r="E53" s="85">
        <f>E54</f>
        <v>1949028.44</v>
      </c>
      <c r="F53" s="86">
        <v>0</v>
      </c>
      <c r="G53" s="87">
        <v>0</v>
      </c>
      <c r="H53" s="86"/>
      <c r="I53" s="85">
        <f>I54</f>
        <v>0</v>
      </c>
      <c r="J53" s="86">
        <v>0</v>
      </c>
      <c r="K53" s="86">
        <v>0</v>
      </c>
      <c r="L53" s="86">
        <v>0</v>
      </c>
      <c r="M53" s="86">
        <v>0</v>
      </c>
      <c r="N53" s="86">
        <v>0</v>
      </c>
      <c r="O53" s="87">
        <v>0</v>
      </c>
      <c r="P53" s="135">
        <f t="shared" si="15"/>
        <v>1949028.44</v>
      </c>
    </row>
    <row r="54" spans="1:16" ht="67.5" customHeight="1">
      <c r="A54" s="188"/>
      <c r="B54" s="163"/>
      <c r="C54" s="208" t="s">
        <v>140</v>
      </c>
      <c r="D54" s="85">
        <f>1318137-369108.56+1000000</f>
        <v>1949028.44</v>
      </c>
      <c r="E54" s="85">
        <f>1318137-369108.56+1000000</f>
        <v>1949028.44</v>
      </c>
      <c r="F54" s="86">
        <v>0</v>
      </c>
      <c r="G54" s="87">
        <v>0</v>
      </c>
      <c r="H54" s="86"/>
      <c r="I54" s="85">
        <v>0</v>
      </c>
      <c r="J54" s="86">
        <v>0</v>
      </c>
      <c r="K54" s="86">
        <v>0</v>
      </c>
      <c r="L54" s="86">
        <v>0</v>
      </c>
      <c r="M54" s="86">
        <v>0</v>
      </c>
      <c r="N54" s="86">
        <v>0</v>
      </c>
      <c r="O54" s="87">
        <v>0</v>
      </c>
      <c r="P54" s="135">
        <f t="shared" si="15"/>
        <v>1949028.44</v>
      </c>
    </row>
    <row r="55" spans="1:16" ht="70.5" customHeight="1">
      <c r="A55" s="188" t="s">
        <v>54</v>
      </c>
      <c r="B55" s="161" t="s">
        <v>53</v>
      </c>
      <c r="C55" s="273" t="s">
        <v>129</v>
      </c>
      <c r="D55" s="85">
        <f>D56</f>
        <v>2068200</v>
      </c>
      <c r="E55" s="85">
        <f>E56</f>
        <v>2068200</v>
      </c>
      <c r="F55" s="86">
        <v>0</v>
      </c>
      <c r="G55" s="87">
        <v>0</v>
      </c>
      <c r="H55" s="86"/>
      <c r="I55" s="85">
        <f>I56</f>
        <v>0</v>
      </c>
      <c r="J55" s="86">
        <v>0</v>
      </c>
      <c r="K55" s="86">
        <v>0</v>
      </c>
      <c r="L55" s="86">
        <v>0</v>
      </c>
      <c r="M55" s="86">
        <v>0</v>
      </c>
      <c r="N55" s="86">
        <v>0</v>
      </c>
      <c r="O55" s="87">
        <v>0</v>
      </c>
      <c r="P55" s="135">
        <f t="shared" si="15"/>
        <v>2068200</v>
      </c>
    </row>
    <row r="56" spans="1:16" ht="66.75" customHeight="1">
      <c r="A56" s="188"/>
      <c r="B56" s="163"/>
      <c r="C56" s="203" t="s">
        <v>137</v>
      </c>
      <c r="D56" s="85">
        <f>1519343-451143+1000000</f>
        <v>2068200</v>
      </c>
      <c r="E56" s="85">
        <f>1519343-451143+1000000</f>
        <v>2068200</v>
      </c>
      <c r="F56" s="86">
        <v>0</v>
      </c>
      <c r="G56" s="87">
        <v>0</v>
      </c>
      <c r="H56" s="86"/>
      <c r="I56" s="85">
        <v>0</v>
      </c>
      <c r="J56" s="86">
        <v>0</v>
      </c>
      <c r="K56" s="86">
        <v>0</v>
      </c>
      <c r="L56" s="86">
        <v>0</v>
      </c>
      <c r="M56" s="86">
        <v>0</v>
      </c>
      <c r="N56" s="86">
        <v>0</v>
      </c>
      <c r="O56" s="87">
        <v>0</v>
      </c>
      <c r="P56" s="135">
        <f t="shared" si="15"/>
        <v>2068200</v>
      </c>
    </row>
    <row r="57" spans="1:16" ht="68.25" customHeight="1" thickBot="1">
      <c r="A57" s="274" t="s">
        <v>55</v>
      </c>
      <c r="B57" s="275" t="s">
        <v>53</v>
      </c>
      <c r="C57" s="276" t="s">
        <v>130</v>
      </c>
      <c r="D57" s="111">
        <f>D58</f>
        <v>5.569999999999993</v>
      </c>
      <c r="E57" s="111">
        <f>E58</f>
        <v>5.569999999999993</v>
      </c>
      <c r="F57" s="112">
        <v>0</v>
      </c>
      <c r="G57" s="113">
        <v>0</v>
      </c>
      <c r="H57" s="112"/>
      <c r="I57" s="111">
        <f>I58</f>
        <v>0</v>
      </c>
      <c r="J57" s="112">
        <v>0</v>
      </c>
      <c r="K57" s="112">
        <v>0</v>
      </c>
      <c r="L57" s="112">
        <v>0</v>
      </c>
      <c r="M57" s="112">
        <v>0</v>
      </c>
      <c r="N57" s="112">
        <v>0</v>
      </c>
      <c r="O57" s="113">
        <v>0</v>
      </c>
      <c r="P57" s="147">
        <f t="shared" si="15"/>
        <v>5.569999999999993</v>
      </c>
    </row>
    <row r="58" spans="1:16" ht="41.25" customHeight="1">
      <c r="A58" s="209"/>
      <c r="B58" s="210"/>
      <c r="C58" s="211" t="s">
        <v>141</v>
      </c>
      <c r="D58" s="97">
        <f>735-635-94.43</f>
        <v>5.569999999999993</v>
      </c>
      <c r="E58" s="97">
        <f>735-635-94.43</f>
        <v>5.569999999999993</v>
      </c>
      <c r="F58" s="114">
        <v>0</v>
      </c>
      <c r="G58" s="115">
        <v>0</v>
      </c>
      <c r="H58" s="114"/>
      <c r="I58" s="97">
        <v>0</v>
      </c>
      <c r="J58" s="114">
        <v>0</v>
      </c>
      <c r="K58" s="114">
        <v>0</v>
      </c>
      <c r="L58" s="114">
        <v>0</v>
      </c>
      <c r="M58" s="114">
        <v>0</v>
      </c>
      <c r="N58" s="114">
        <v>0</v>
      </c>
      <c r="O58" s="115">
        <v>0</v>
      </c>
      <c r="P58" s="144">
        <f t="shared" si="15"/>
        <v>5.569999999999993</v>
      </c>
    </row>
    <row r="59" spans="1:16" ht="22.5" customHeight="1">
      <c r="A59" s="188" t="s">
        <v>56</v>
      </c>
      <c r="B59" s="161" t="s">
        <v>34</v>
      </c>
      <c r="C59" s="191" t="s">
        <v>57</v>
      </c>
      <c r="D59" s="85">
        <f>D60</f>
        <v>1331185</v>
      </c>
      <c r="E59" s="85">
        <f>E60</f>
        <v>1331185</v>
      </c>
      <c r="F59" s="86">
        <v>0</v>
      </c>
      <c r="G59" s="87">
        <v>0</v>
      </c>
      <c r="H59" s="86"/>
      <c r="I59" s="85">
        <f>I60</f>
        <v>0</v>
      </c>
      <c r="J59" s="86">
        <v>0</v>
      </c>
      <c r="K59" s="86">
        <v>0</v>
      </c>
      <c r="L59" s="86">
        <v>0</v>
      </c>
      <c r="M59" s="86">
        <v>0</v>
      </c>
      <c r="N59" s="86">
        <v>0</v>
      </c>
      <c r="O59" s="87">
        <v>0</v>
      </c>
      <c r="P59" s="135">
        <f t="shared" si="15"/>
        <v>1331185</v>
      </c>
    </row>
    <row r="60" spans="1:16" ht="54.75" customHeight="1">
      <c r="A60" s="188"/>
      <c r="B60" s="163"/>
      <c r="C60" s="101" t="s">
        <v>142</v>
      </c>
      <c r="D60" s="85">
        <f>1281185+50000</f>
        <v>1331185</v>
      </c>
      <c r="E60" s="85">
        <f>1281185+50000</f>
        <v>1331185</v>
      </c>
      <c r="F60" s="86">
        <v>0</v>
      </c>
      <c r="G60" s="87">
        <v>0</v>
      </c>
      <c r="H60" s="86"/>
      <c r="I60" s="85">
        <v>0</v>
      </c>
      <c r="J60" s="86">
        <v>0</v>
      </c>
      <c r="K60" s="86">
        <v>0</v>
      </c>
      <c r="L60" s="86">
        <v>0</v>
      </c>
      <c r="M60" s="86">
        <v>0</v>
      </c>
      <c r="N60" s="86">
        <v>0</v>
      </c>
      <c r="O60" s="87">
        <v>0</v>
      </c>
      <c r="P60" s="135">
        <f t="shared" si="15"/>
        <v>1331185</v>
      </c>
    </row>
    <row r="61" spans="1:16" ht="21.75" customHeight="1">
      <c r="A61" s="188" t="s">
        <v>58</v>
      </c>
      <c r="B61" s="161" t="s">
        <v>34</v>
      </c>
      <c r="C61" s="191" t="s">
        <v>59</v>
      </c>
      <c r="D61" s="85">
        <f>D62</f>
        <v>1404500</v>
      </c>
      <c r="E61" s="85">
        <f>E62</f>
        <v>1404500</v>
      </c>
      <c r="F61" s="86">
        <v>0</v>
      </c>
      <c r="G61" s="87">
        <v>0</v>
      </c>
      <c r="H61" s="86"/>
      <c r="I61" s="85">
        <f>I62</f>
        <v>0</v>
      </c>
      <c r="J61" s="86">
        <v>0</v>
      </c>
      <c r="K61" s="86">
        <v>0</v>
      </c>
      <c r="L61" s="86">
        <v>0</v>
      </c>
      <c r="M61" s="86">
        <v>0</v>
      </c>
      <c r="N61" s="86">
        <v>0</v>
      </c>
      <c r="O61" s="87">
        <v>0</v>
      </c>
      <c r="P61" s="135">
        <f t="shared" si="15"/>
        <v>1404500</v>
      </c>
    </row>
    <row r="62" spans="1:16" ht="57" customHeight="1">
      <c r="A62" s="188"/>
      <c r="B62" s="163"/>
      <c r="C62" s="101" t="s">
        <v>142</v>
      </c>
      <c r="D62" s="85">
        <v>1404500</v>
      </c>
      <c r="E62" s="85">
        <v>1404500</v>
      </c>
      <c r="F62" s="86">
        <v>0</v>
      </c>
      <c r="G62" s="87">
        <v>0</v>
      </c>
      <c r="H62" s="86"/>
      <c r="I62" s="85">
        <v>0</v>
      </c>
      <c r="J62" s="86">
        <v>0</v>
      </c>
      <c r="K62" s="86">
        <v>0</v>
      </c>
      <c r="L62" s="86">
        <v>0</v>
      </c>
      <c r="M62" s="86">
        <v>0</v>
      </c>
      <c r="N62" s="86">
        <v>0</v>
      </c>
      <c r="O62" s="87">
        <v>0</v>
      </c>
      <c r="P62" s="135">
        <f t="shared" si="15"/>
        <v>1404500</v>
      </c>
    </row>
    <row r="63" spans="1:16" ht="18" customHeight="1">
      <c r="A63" s="188" t="s">
        <v>60</v>
      </c>
      <c r="B63" s="161" t="s">
        <v>34</v>
      </c>
      <c r="C63" s="191" t="s">
        <v>61</v>
      </c>
      <c r="D63" s="85">
        <f>D64</f>
        <v>62233896</v>
      </c>
      <c r="E63" s="85">
        <f>E64</f>
        <v>62233896</v>
      </c>
      <c r="F63" s="86">
        <v>0</v>
      </c>
      <c r="G63" s="87">
        <v>0</v>
      </c>
      <c r="H63" s="86"/>
      <c r="I63" s="85">
        <f>I64</f>
        <v>0</v>
      </c>
      <c r="J63" s="86">
        <v>0</v>
      </c>
      <c r="K63" s="86">
        <v>0</v>
      </c>
      <c r="L63" s="86">
        <v>0</v>
      </c>
      <c r="M63" s="86">
        <v>0</v>
      </c>
      <c r="N63" s="86">
        <v>0</v>
      </c>
      <c r="O63" s="87">
        <v>0</v>
      </c>
      <c r="P63" s="135">
        <f t="shared" si="15"/>
        <v>62233896</v>
      </c>
    </row>
    <row r="64" spans="1:16" ht="54.75" customHeight="1">
      <c r="A64" s="188"/>
      <c r="B64" s="163"/>
      <c r="C64" s="101" t="s">
        <v>142</v>
      </c>
      <c r="D64" s="85">
        <f>62125400+108496</f>
        <v>62233896</v>
      </c>
      <c r="E64" s="85">
        <f>62125400+108496</f>
        <v>62233896</v>
      </c>
      <c r="F64" s="86">
        <v>0</v>
      </c>
      <c r="G64" s="87">
        <v>0</v>
      </c>
      <c r="H64" s="86"/>
      <c r="I64" s="85">
        <v>0</v>
      </c>
      <c r="J64" s="86">
        <v>0</v>
      </c>
      <c r="K64" s="86">
        <v>0</v>
      </c>
      <c r="L64" s="86">
        <v>0</v>
      </c>
      <c r="M64" s="86">
        <v>0</v>
      </c>
      <c r="N64" s="86">
        <v>0</v>
      </c>
      <c r="O64" s="87">
        <v>0</v>
      </c>
      <c r="P64" s="135">
        <f t="shared" si="15"/>
        <v>62233896</v>
      </c>
    </row>
    <row r="65" spans="1:16" ht="18.75" customHeight="1">
      <c r="A65" s="188" t="s">
        <v>62</v>
      </c>
      <c r="B65" s="161" t="s">
        <v>34</v>
      </c>
      <c r="C65" s="191" t="s">
        <v>63</v>
      </c>
      <c r="D65" s="85">
        <f>D66</f>
        <v>5407400</v>
      </c>
      <c r="E65" s="85">
        <f>E66</f>
        <v>5407400</v>
      </c>
      <c r="F65" s="86">
        <v>0</v>
      </c>
      <c r="G65" s="87">
        <v>0</v>
      </c>
      <c r="H65" s="86"/>
      <c r="I65" s="85">
        <f>I66</f>
        <v>0</v>
      </c>
      <c r="J65" s="86">
        <v>0</v>
      </c>
      <c r="K65" s="86">
        <v>0</v>
      </c>
      <c r="L65" s="86">
        <v>0</v>
      </c>
      <c r="M65" s="86">
        <v>0</v>
      </c>
      <c r="N65" s="86">
        <v>0</v>
      </c>
      <c r="O65" s="87">
        <v>0</v>
      </c>
      <c r="P65" s="135">
        <f t="shared" si="15"/>
        <v>5407400</v>
      </c>
    </row>
    <row r="66" spans="1:16" ht="57.75" customHeight="1">
      <c r="A66" s="188"/>
      <c r="B66" s="161"/>
      <c r="C66" s="101" t="s">
        <v>142</v>
      </c>
      <c r="D66" s="85">
        <v>5407400</v>
      </c>
      <c r="E66" s="85">
        <v>5407400</v>
      </c>
      <c r="F66" s="86">
        <v>0</v>
      </c>
      <c r="G66" s="87">
        <v>0</v>
      </c>
      <c r="H66" s="86"/>
      <c r="I66" s="85">
        <v>0</v>
      </c>
      <c r="J66" s="86">
        <v>0</v>
      </c>
      <c r="K66" s="86">
        <v>0</v>
      </c>
      <c r="L66" s="86">
        <v>0</v>
      </c>
      <c r="M66" s="86">
        <v>0</v>
      </c>
      <c r="N66" s="86">
        <v>0</v>
      </c>
      <c r="O66" s="87">
        <v>0</v>
      </c>
      <c r="P66" s="135">
        <f t="shared" si="15"/>
        <v>5407400</v>
      </c>
    </row>
    <row r="67" spans="1:16" ht="19.5" customHeight="1">
      <c r="A67" s="188" t="s">
        <v>64</v>
      </c>
      <c r="B67" s="161" t="s">
        <v>34</v>
      </c>
      <c r="C67" s="79" t="s">
        <v>65</v>
      </c>
      <c r="D67" s="85">
        <f>D68</f>
        <v>14659960</v>
      </c>
      <c r="E67" s="85">
        <f>E68</f>
        <v>14659960</v>
      </c>
      <c r="F67" s="86">
        <v>0</v>
      </c>
      <c r="G67" s="87">
        <v>0</v>
      </c>
      <c r="H67" s="86"/>
      <c r="I67" s="85">
        <f>I68</f>
        <v>0</v>
      </c>
      <c r="J67" s="86">
        <v>0</v>
      </c>
      <c r="K67" s="86">
        <v>0</v>
      </c>
      <c r="L67" s="86">
        <v>0</v>
      </c>
      <c r="M67" s="86">
        <v>0</v>
      </c>
      <c r="N67" s="86">
        <v>0</v>
      </c>
      <c r="O67" s="87">
        <v>0</v>
      </c>
      <c r="P67" s="135">
        <f t="shared" si="15"/>
        <v>14659960</v>
      </c>
    </row>
    <row r="68" spans="1:16" ht="55.5" customHeight="1">
      <c r="A68" s="188"/>
      <c r="B68" s="161"/>
      <c r="C68" s="101" t="s">
        <v>142</v>
      </c>
      <c r="D68" s="85">
        <v>14659960</v>
      </c>
      <c r="E68" s="85">
        <v>14659960</v>
      </c>
      <c r="F68" s="86">
        <v>0</v>
      </c>
      <c r="G68" s="87">
        <v>0</v>
      </c>
      <c r="H68" s="86"/>
      <c r="I68" s="85">
        <v>0</v>
      </c>
      <c r="J68" s="86">
        <v>0</v>
      </c>
      <c r="K68" s="86">
        <v>0</v>
      </c>
      <c r="L68" s="86">
        <v>0</v>
      </c>
      <c r="M68" s="86">
        <v>0</v>
      </c>
      <c r="N68" s="86">
        <v>0</v>
      </c>
      <c r="O68" s="87">
        <v>0</v>
      </c>
      <c r="P68" s="135">
        <f t="shared" si="15"/>
        <v>14659960</v>
      </c>
    </row>
    <row r="69" spans="1:16" ht="19.5" customHeight="1">
      <c r="A69" s="188" t="s">
        <v>66</v>
      </c>
      <c r="B69" s="161" t="s">
        <v>34</v>
      </c>
      <c r="C69" s="191" t="s">
        <v>67</v>
      </c>
      <c r="D69" s="85">
        <f>D70</f>
        <v>1229200</v>
      </c>
      <c r="E69" s="85">
        <f>E70</f>
        <v>1229200</v>
      </c>
      <c r="F69" s="86">
        <v>0</v>
      </c>
      <c r="G69" s="87">
        <v>0</v>
      </c>
      <c r="H69" s="86"/>
      <c r="I69" s="85">
        <f>I70</f>
        <v>0</v>
      </c>
      <c r="J69" s="86">
        <v>0</v>
      </c>
      <c r="K69" s="86">
        <v>0</v>
      </c>
      <c r="L69" s="86">
        <v>0</v>
      </c>
      <c r="M69" s="86">
        <v>0</v>
      </c>
      <c r="N69" s="86">
        <v>0</v>
      </c>
      <c r="O69" s="87">
        <v>0</v>
      </c>
      <c r="P69" s="135">
        <f t="shared" si="15"/>
        <v>1229200</v>
      </c>
    </row>
    <row r="70" spans="1:16" ht="56.25" customHeight="1">
      <c r="A70" s="188"/>
      <c r="B70" s="163"/>
      <c r="C70" s="101" t="s">
        <v>142</v>
      </c>
      <c r="D70" s="85">
        <v>1229200</v>
      </c>
      <c r="E70" s="85">
        <v>1229200</v>
      </c>
      <c r="F70" s="86">
        <v>0</v>
      </c>
      <c r="G70" s="87">
        <v>0</v>
      </c>
      <c r="H70" s="86"/>
      <c r="I70" s="85">
        <v>0</v>
      </c>
      <c r="J70" s="86">
        <v>0</v>
      </c>
      <c r="K70" s="86">
        <v>0</v>
      </c>
      <c r="L70" s="86">
        <v>0</v>
      </c>
      <c r="M70" s="86">
        <v>0</v>
      </c>
      <c r="N70" s="86">
        <v>0</v>
      </c>
      <c r="O70" s="87">
        <v>0</v>
      </c>
      <c r="P70" s="135">
        <f t="shared" si="15"/>
        <v>1229200</v>
      </c>
    </row>
    <row r="71" spans="1:16" ht="21.75" customHeight="1">
      <c r="A71" s="188" t="s">
        <v>68</v>
      </c>
      <c r="B71" s="161" t="s">
        <v>34</v>
      </c>
      <c r="C71" s="191" t="s">
        <v>69</v>
      </c>
      <c r="D71" s="85">
        <f>D72</f>
        <v>226600</v>
      </c>
      <c r="E71" s="85">
        <f>E72</f>
        <v>226600</v>
      </c>
      <c r="F71" s="86">
        <v>0</v>
      </c>
      <c r="G71" s="87">
        <v>0</v>
      </c>
      <c r="H71" s="86"/>
      <c r="I71" s="85">
        <f>I72</f>
        <v>0</v>
      </c>
      <c r="J71" s="86">
        <v>0</v>
      </c>
      <c r="K71" s="86">
        <v>0</v>
      </c>
      <c r="L71" s="86">
        <v>0</v>
      </c>
      <c r="M71" s="86">
        <v>0</v>
      </c>
      <c r="N71" s="86">
        <v>0</v>
      </c>
      <c r="O71" s="87">
        <v>0</v>
      </c>
      <c r="P71" s="135">
        <f t="shared" si="15"/>
        <v>226600</v>
      </c>
    </row>
    <row r="72" spans="1:16" ht="57" customHeight="1">
      <c r="A72" s="188"/>
      <c r="B72" s="163"/>
      <c r="C72" s="101" t="s">
        <v>142</v>
      </c>
      <c r="D72" s="85">
        <f>206600+20000</f>
        <v>226600</v>
      </c>
      <c r="E72" s="85">
        <f>206600+20000</f>
        <v>226600</v>
      </c>
      <c r="F72" s="86">
        <v>0</v>
      </c>
      <c r="G72" s="87">
        <v>0</v>
      </c>
      <c r="H72" s="86"/>
      <c r="I72" s="85">
        <v>0</v>
      </c>
      <c r="J72" s="86">
        <v>0</v>
      </c>
      <c r="K72" s="86">
        <v>0</v>
      </c>
      <c r="L72" s="86">
        <v>0</v>
      </c>
      <c r="M72" s="86">
        <v>0</v>
      </c>
      <c r="N72" s="86">
        <v>0</v>
      </c>
      <c r="O72" s="87">
        <v>0</v>
      </c>
      <c r="P72" s="135">
        <f t="shared" si="15"/>
        <v>226600</v>
      </c>
    </row>
    <row r="73" spans="1:16" ht="18.75" customHeight="1">
      <c r="A73" s="188" t="s">
        <v>70</v>
      </c>
      <c r="B73" s="161" t="s">
        <v>34</v>
      </c>
      <c r="C73" s="191" t="s">
        <v>71</v>
      </c>
      <c r="D73" s="85">
        <f>D74</f>
        <v>9836514</v>
      </c>
      <c r="E73" s="86">
        <f>E74</f>
        <v>9836514</v>
      </c>
      <c r="F73" s="86">
        <v>0</v>
      </c>
      <c r="G73" s="87">
        <v>0</v>
      </c>
      <c r="H73" s="86"/>
      <c r="I73" s="85">
        <f>I74</f>
        <v>0</v>
      </c>
      <c r="J73" s="86">
        <v>0</v>
      </c>
      <c r="K73" s="86">
        <v>0</v>
      </c>
      <c r="L73" s="86">
        <v>0</v>
      </c>
      <c r="M73" s="86">
        <v>0</v>
      </c>
      <c r="N73" s="86">
        <v>0</v>
      </c>
      <c r="O73" s="87">
        <v>0</v>
      </c>
      <c r="P73" s="135">
        <f t="shared" si="15"/>
        <v>9836514</v>
      </c>
    </row>
    <row r="74" spans="1:16" ht="57" customHeight="1">
      <c r="A74" s="188"/>
      <c r="B74" s="163"/>
      <c r="C74" s="101" t="s">
        <v>142</v>
      </c>
      <c r="D74" s="85">
        <f>9786514+50000</f>
        <v>9836514</v>
      </c>
      <c r="E74" s="85">
        <f>9786514+50000</f>
        <v>9836514</v>
      </c>
      <c r="F74" s="86">
        <v>0</v>
      </c>
      <c r="G74" s="87">
        <v>0</v>
      </c>
      <c r="H74" s="86"/>
      <c r="I74" s="85">
        <v>0</v>
      </c>
      <c r="J74" s="86">
        <v>0</v>
      </c>
      <c r="K74" s="86">
        <v>0</v>
      </c>
      <c r="L74" s="86">
        <v>0</v>
      </c>
      <c r="M74" s="86">
        <v>0</v>
      </c>
      <c r="N74" s="86">
        <v>0</v>
      </c>
      <c r="O74" s="87">
        <v>0</v>
      </c>
      <c r="P74" s="135">
        <f t="shared" si="15"/>
        <v>9836514</v>
      </c>
    </row>
    <row r="75" spans="1:16" ht="31.5" customHeight="1">
      <c r="A75" s="188" t="s">
        <v>72</v>
      </c>
      <c r="B75" s="161" t="s">
        <v>73</v>
      </c>
      <c r="C75" s="191" t="s">
        <v>74</v>
      </c>
      <c r="D75" s="85">
        <f>D76</f>
        <v>41893549.68</v>
      </c>
      <c r="E75" s="85">
        <f>E76</f>
        <v>41893549.68</v>
      </c>
      <c r="F75" s="86">
        <v>0</v>
      </c>
      <c r="G75" s="87">
        <v>0</v>
      </c>
      <c r="H75" s="86"/>
      <c r="I75" s="85">
        <f>I76</f>
        <v>0</v>
      </c>
      <c r="J75" s="86">
        <v>0</v>
      </c>
      <c r="K75" s="86">
        <v>0</v>
      </c>
      <c r="L75" s="86">
        <v>0</v>
      </c>
      <c r="M75" s="86">
        <v>0</v>
      </c>
      <c r="N75" s="86">
        <v>0</v>
      </c>
      <c r="O75" s="87">
        <v>0</v>
      </c>
      <c r="P75" s="135">
        <f t="shared" si="15"/>
        <v>41893549.68</v>
      </c>
    </row>
    <row r="76" spans="1:16" ht="69" customHeight="1">
      <c r="A76" s="188"/>
      <c r="B76" s="163"/>
      <c r="C76" s="101" t="s">
        <v>137</v>
      </c>
      <c r="D76" s="85">
        <f>60580181-19421986.39+1937100-1201744.93</f>
        <v>41893549.68</v>
      </c>
      <c r="E76" s="85">
        <f>60580181-19421986.39+1937100-1201744.93</f>
        <v>41893549.68</v>
      </c>
      <c r="F76" s="86">
        <v>0</v>
      </c>
      <c r="G76" s="87">
        <v>0</v>
      </c>
      <c r="H76" s="86"/>
      <c r="I76" s="85">
        <v>0</v>
      </c>
      <c r="J76" s="86">
        <v>0</v>
      </c>
      <c r="K76" s="86">
        <v>0</v>
      </c>
      <c r="L76" s="86">
        <v>0</v>
      </c>
      <c r="M76" s="86">
        <v>0</v>
      </c>
      <c r="N76" s="86">
        <v>0</v>
      </c>
      <c r="O76" s="87">
        <v>0</v>
      </c>
      <c r="P76" s="135">
        <f t="shared" si="15"/>
        <v>41893549.68</v>
      </c>
    </row>
    <row r="77" spans="1:16" ht="33" customHeight="1">
      <c r="A77" s="188" t="s">
        <v>75</v>
      </c>
      <c r="B77" s="161" t="s">
        <v>73</v>
      </c>
      <c r="C77" s="191" t="s">
        <v>76</v>
      </c>
      <c r="D77" s="85">
        <f>D78</f>
        <v>10011.119999999999</v>
      </c>
      <c r="E77" s="85">
        <f>E78</f>
        <v>10011.119999999999</v>
      </c>
      <c r="F77" s="86">
        <v>0</v>
      </c>
      <c r="G77" s="87">
        <v>0</v>
      </c>
      <c r="H77" s="86"/>
      <c r="I77" s="85">
        <f>I78</f>
        <v>0</v>
      </c>
      <c r="J77" s="86">
        <v>0</v>
      </c>
      <c r="K77" s="86">
        <v>0</v>
      </c>
      <c r="L77" s="86">
        <v>0</v>
      </c>
      <c r="M77" s="86">
        <v>0</v>
      </c>
      <c r="N77" s="86">
        <v>0</v>
      </c>
      <c r="O77" s="87">
        <v>0</v>
      </c>
      <c r="P77" s="135">
        <f t="shared" si="15"/>
        <v>10011.119999999999</v>
      </c>
    </row>
    <row r="78" spans="1:16" ht="42" customHeight="1">
      <c r="A78" s="188"/>
      <c r="B78" s="163"/>
      <c r="C78" s="101" t="s">
        <v>138</v>
      </c>
      <c r="D78" s="85">
        <f>6435+3788.37-212.25</f>
        <v>10011.119999999999</v>
      </c>
      <c r="E78" s="85">
        <f>6435+3788.37-212.25</f>
        <v>10011.119999999999</v>
      </c>
      <c r="F78" s="86">
        <v>0</v>
      </c>
      <c r="G78" s="87">
        <v>0</v>
      </c>
      <c r="H78" s="86"/>
      <c r="I78" s="85">
        <v>0</v>
      </c>
      <c r="J78" s="86">
        <v>0</v>
      </c>
      <c r="K78" s="86">
        <v>0</v>
      </c>
      <c r="L78" s="86">
        <v>0</v>
      </c>
      <c r="M78" s="86">
        <v>0</v>
      </c>
      <c r="N78" s="86">
        <v>0</v>
      </c>
      <c r="O78" s="87">
        <v>0</v>
      </c>
      <c r="P78" s="135">
        <f t="shared" si="15"/>
        <v>10011.119999999999</v>
      </c>
    </row>
    <row r="79" spans="1:16" ht="27" customHeight="1">
      <c r="A79" s="338" t="s">
        <v>77</v>
      </c>
      <c r="B79" s="192" t="s">
        <v>78</v>
      </c>
      <c r="C79" s="79" t="s">
        <v>79</v>
      </c>
      <c r="D79" s="96">
        <f>467500+88000+270212+20000+112000+930000+20000</f>
        <v>1907712</v>
      </c>
      <c r="E79" s="96">
        <f>467500+88000+270212+20000+112000+930000+20000</f>
        <v>1907712</v>
      </c>
      <c r="F79" s="94">
        <v>0</v>
      </c>
      <c r="G79" s="141">
        <v>0</v>
      </c>
      <c r="H79" s="94"/>
      <c r="I79" s="96">
        <v>0</v>
      </c>
      <c r="J79" s="94">
        <v>0</v>
      </c>
      <c r="K79" s="94">
        <v>0</v>
      </c>
      <c r="L79" s="94">
        <v>0</v>
      </c>
      <c r="M79" s="94">
        <v>0</v>
      </c>
      <c r="N79" s="94">
        <v>0</v>
      </c>
      <c r="O79" s="141">
        <v>0</v>
      </c>
      <c r="P79" s="148">
        <f t="shared" si="15"/>
        <v>1907712</v>
      </c>
    </row>
    <row r="80" spans="1:16" ht="24.75" customHeight="1">
      <c r="A80" s="339"/>
      <c r="B80" s="163"/>
      <c r="C80" s="89" t="s">
        <v>47</v>
      </c>
      <c r="D80" s="85">
        <f>467500+930000</f>
        <v>1397500</v>
      </c>
      <c r="E80" s="85">
        <f>467500+930000</f>
        <v>1397500</v>
      </c>
      <c r="F80" s="86">
        <v>0</v>
      </c>
      <c r="G80" s="87">
        <v>0</v>
      </c>
      <c r="H80" s="86"/>
      <c r="I80" s="85">
        <v>0</v>
      </c>
      <c r="J80" s="86">
        <v>0</v>
      </c>
      <c r="K80" s="86">
        <v>0</v>
      </c>
      <c r="L80" s="86">
        <v>0</v>
      </c>
      <c r="M80" s="86">
        <v>0</v>
      </c>
      <c r="N80" s="86">
        <v>0</v>
      </c>
      <c r="O80" s="87">
        <v>0</v>
      </c>
      <c r="P80" s="135">
        <f t="shared" si="15"/>
        <v>1397500</v>
      </c>
    </row>
    <row r="81" spans="1:16" ht="28.5" customHeight="1">
      <c r="A81" s="342" t="s">
        <v>80</v>
      </c>
      <c r="B81" s="161" t="s">
        <v>81</v>
      </c>
      <c r="C81" s="89" t="s">
        <v>82</v>
      </c>
      <c r="D81" s="85">
        <f>D82</f>
        <v>3324020</v>
      </c>
      <c r="E81" s="85">
        <f>E82</f>
        <v>3324020</v>
      </c>
      <c r="F81" s="86">
        <v>0</v>
      </c>
      <c r="G81" s="87">
        <v>0</v>
      </c>
      <c r="H81" s="86"/>
      <c r="I81" s="85">
        <f>I82</f>
        <v>0</v>
      </c>
      <c r="J81" s="86">
        <v>0</v>
      </c>
      <c r="K81" s="86">
        <v>0</v>
      </c>
      <c r="L81" s="86">
        <v>0</v>
      </c>
      <c r="M81" s="86">
        <v>0</v>
      </c>
      <c r="N81" s="86">
        <v>0</v>
      </c>
      <c r="O81" s="87">
        <v>0</v>
      </c>
      <c r="P81" s="135">
        <f t="shared" si="15"/>
        <v>3324020</v>
      </c>
    </row>
    <row r="82" spans="1:16" ht="54.75" customHeight="1">
      <c r="A82" s="338"/>
      <c r="B82" s="163"/>
      <c r="C82" s="101" t="s">
        <v>142</v>
      </c>
      <c r="D82" s="85">
        <f>3274020+50000</f>
        <v>3324020</v>
      </c>
      <c r="E82" s="85">
        <f>3274020+50000</f>
        <v>3324020</v>
      </c>
      <c r="F82" s="86">
        <v>0</v>
      </c>
      <c r="G82" s="87">
        <v>0</v>
      </c>
      <c r="H82" s="86"/>
      <c r="I82" s="85">
        <v>0</v>
      </c>
      <c r="J82" s="86">
        <v>0</v>
      </c>
      <c r="K82" s="86">
        <v>0</v>
      </c>
      <c r="L82" s="86">
        <v>0</v>
      </c>
      <c r="M82" s="86">
        <v>0</v>
      </c>
      <c r="N82" s="86">
        <v>0</v>
      </c>
      <c r="O82" s="87">
        <v>0</v>
      </c>
      <c r="P82" s="135">
        <f t="shared" si="15"/>
        <v>3324020</v>
      </c>
    </row>
    <row r="83" spans="1:16" ht="27" customHeight="1">
      <c r="A83" s="342" t="s">
        <v>83</v>
      </c>
      <c r="B83" s="197" t="s">
        <v>84</v>
      </c>
      <c r="C83" s="101" t="s">
        <v>85</v>
      </c>
      <c r="D83" s="85">
        <f>D84</f>
        <v>106296</v>
      </c>
      <c r="E83" s="85">
        <f>E84</f>
        <v>106296</v>
      </c>
      <c r="F83" s="86">
        <f>8171+78956.5</f>
        <v>87127.5</v>
      </c>
      <c r="G83" s="87">
        <v>0</v>
      </c>
      <c r="H83" s="86"/>
      <c r="I83" s="85">
        <v>0</v>
      </c>
      <c r="J83" s="86">
        <v>0</v>
      </c>
      <c r="K83" s="86">
        <v>0</v>
      </c>
      <c r="L83" s="86">
        <v>0</v>
      </c>
      <c r="M83" s="86">
        <v>0</v>
      </c>
      <c r="N83" s="86">
        <v>0</v>
      </c>
      <c r="O83" s="87">
        <v>0</v>
      </c>
      <c r="P83" s="135">
        <f t="shared" si="15"/>
        <v>106296</v>
      </c>
    </row>
    <row r="84" spans="1:16" ht="24.75" customHeight="1">
      <c r="A84" s="338"/>
      <c r="B84" s="197"/>
      <c r="C84" s="101" t="s">
        <v>146</v>
      </c>
      <c r="D84" s="85">
        <f>9969+96327</f>
        <v>106296</v>
      </c>
      <c r="E84" s="85">
        <f>9969+96327</f>
        <v>106296</v>
      </c>
      <c r="F84" s="86">
        <f>8171+78956.5</f>
        <v>87127.5</v>
      </c>
      <c r="G84" s="87">
        <v>0</v>
      </c>
      <c r="H84" s="86"/>
      <c r="I84" s="85">
        <v>0</v>
      </c>
      <c r="J84" s="86">
        <v>0</v>
      </c>
      <c r="K84" s="86">
        <v>0</v>
      </c>
      <c r="L84" s="86">
        <v>0</v>
      </c>
      <c r="M84" s="86">
        <v>0</v>
      </c>
      <c r="N84" s="86">
        <v>0</v>
      </c>
      <c r="O84" s="87">
        <v>0</v>
      </c>
      <c r="P84" s="135">
        <f t="shared" si="15"/>
        <v>106296</v>
      </c>
    </row>
    <row r="85" spans="1:16" ht="27.75" customHeight="1">
      <c r="A85" s="335" t="s">
        <v>86</v>
      </c>
      <c r="B85" s="161" t="s">
        <v>87</v>
      </c>
      <c r="C85" s="191" t="s">
        <v>88</v>
      </c>
      <c r="D85" s="80">
        <f>4533519+260093+112200+120282</f>
        <v>5026094</v>
      </c>
      <c r="E85" s="80">
        <f>4533519+260093+112200+120282</f>
        <v>5026094</v>
      </c>
      <c r="F85" s="81">
        <f>3285955+144994</f>
        <v>3430949</v>
      </c>
      <c r="G85" s="82">
        <v>234566</v>
      </c>
      <c r="H85" s="81"/>
      <c r="I85" s="80">
        <f>46127+75250</f>
        <v>121377</v>
      </c>
      <c r="J85" s="80">
        <v>46127</v>
      </c>
      <c r="K85" s="81">
        <v>33711</v>
      </c>
      <c r="L85" s="81">
        <v>0</v>
      </c>
      <c r="M85" s="81">
        <v>75250</v>
      </c>
      <c r="N85" s="81">
        <v>75250</v>
      </c>
      <c r="O85" s="82">
        <v>75250</v>
      </c>
      <c r="P85" s="132">
        <f aca="true" t="shared" si="16" ref="P85:P92">D85+I85</f>
        <v>5147471</v>
      </c>
    </row>
    <row r="86" spans="1:16" ht="22.5" customHeight="1">
      <c r="A86" s="336"/>
      <c r="B86" s="161"/>
      <c r="C86" s="101" t="s">
        <v>105</v>
      </c>
      <c r="D86" s="80">
        <v>232482</v>
      </c>
      <c r="E86" s="80">
        <v>232482</v>
      </c>
      <c r="F86" s="81">
        <v>0</v>
      </c>
      <c r="G86" s="82">
        <v>0</v>
      </c>
      <c r="H86" s="81"/>
      <c r="I86" s="80">
        <v>75250</v>
      </c>
      <c r="J86" s="80">
        <v>0</v>
      </c>
      <c r="K86" s="81">
        <v>0</v>
      </c>
      <c r="L86" s="81">
        <v>0</v>
      </c>
      <c r="M86" s="81">
        <v>75250</v>
      </c>
      <c r="N86" s="81">
        <v>75250</v>
      </c>
      <c r="O86" s="82">
        <v>75250</v>
      </c>
      <c r="P86" s="132">
        <f t="shared" si="16"/>
        <v>307732</v>
      </c>
    </row>
    <row r="87" spans="1:16" ht="47.25" customHeight="1">
      <c r="A87" s="188" t="s">
        <v>89</v>
      </c>
      <c r="B87" s="161" t="s">
        <v>81</v>
      </c>
      <c r="C87" s="191" t="s">
        <v>131</v>
      </c>
      <c r="D87" s="85">
        <v>229936</v>
      </c>
      <c r="E87" s="85">
        <v>229936</v>
      </c>
      <c r="F87" s="86">
        <v>0</v>
      </c>
      <c r="G87" s="87">
        <v>0</v>
      </c>
      <c r="H87" s="86"/>
      <c r="I87" s="85">
        <v>0</v>
      </c>
      <c r="J87" s="86">
        <v>0</v>
      </c>
      <c r="K87" s="86">
        <v>0</v>
      </c>
      <c r="L87" s="86">
        <v>0</v>
      </c>
      <c r="M87" s="86">
        <v>0</v>
      </c>
      <c r="N87" s="86">
        <v>0</v>
      </c>
      <c r="O87" s="87">
        <v>0</v>
      </c>
      <c r="P87" s="135">
        <f t="shared" si="16"/>
        <v>229936</v>
      </c>
    </row>
    <row r="88" spans="1:16" ht="26.25" customHeight="1">
      <c r="A88" s="188" t="s">
        <v>90</v>
      </c>
      <c r="B88" s="161" t="s">
        <v>49</v>
      </c>
      <c r="C88" s="191" t="s">
        <v>91</v>
      </c>
      <c r="D88" s="85">
        <v>149222</v>
      </c>
      <c r="E88" s="85">
        <v>149222</v>
      </c>
      <c r="F88" s="86">
        <v>0</v>
      </c>
      <c r="G88" s="87">
        <v>0</v>
      </c>
      <c r="H88" s="86"/>
      <c r="I88" s="85">
        <v>0</v>
      </c>
      <c r="J88" s="86">
        <v>0</v>
      </c>
      <c r="K88" s="86">
        <v>0</v>
      </c>
      <c r="L88" s="86">
        <v>0</v>
      </c>
      <c r="M88" s="86">
        <v>0</v>
      </c>
      <c r="N88" s="86">
        <v>0</v>
      </c>
      <c r="O88" s="87">
        <v>0</v>
      </c>
      <c r="P88" s="135">
        <f t="shared" si="16"/>
        <v>149222</v>
      </c>
    </row>
    <row r="89" spans="1:16" ht="22.5" customHeight="1">
      <c r="A89" s="188" t="s">
        <v>92</v>
      </c>
      <c r="B89" s="161" t="s">
        <v>81</v>
      </c>
      <c r="C89" s="191" t="s">
        <v>93</v>
      </c>
      <c r="D89" s="85">
        <f>D90</f>
        <v>17948721</v>
      </c>
      <c r="E89" s="85">
        <f>E90</f>
        <v>17948721</v>
      </c>
      <c r="F89" s="86">
        <v>0</v>
      </c>
      <c r="G89" s="87">
        <v>0</v>
      </c>
      <c r="H89" s="86"/>
      <c r="I89" s="85">
        <f>I90</f>
        <v>0</v>
      </c>
      <c r="J89" s="86">
        <v>0</v>
      </c>
      <c r="K89" s="86">
        <v>0</v>
      </c>
      <c r="L89" s="86">
        <v>0</v>
      </c>
      <c r="M89" s="86">
        <v>0</v>
      </c>
      <c r="N89" s="86">
        <v>0</v>
      </c>
      <c r="O89" s="87">
        <v>0</v>
      </c>
      <c r="P89" s="135">
        <f t="shared" si="16"/>
        <v>17948721</v>
      </c>
    </row>
    <row r="90" spans="1:16" ht="53.25" customHeight="1">
      <c r="A90" s="188"/>
      <c r="B90" s="161"/>
      <c r="C90" s="101" t="s">
        <v>142</v>
      </c>
      <c r="D90" s="85">
        <v>17948721</v>
      </c>
      <c r="E90" s="85">
        <v>17948721</v>
      </c>
      <c r="F90" s="86">
        <v>0</v>
      </c>
      <c r="G90" s="87">
        <v>0</v>
      </c>
      <c r="H90" s="86"/>
      <c r="I90" s="85">
        <v>0</v>
      </c>
      <c r="J90" s="86">
        <v>0</v>
      </c>
      <c r="K90" s="86">
        <v>0</v>
      </c>
      <c r="L90" s="86">
        <v>0</v>
      </c>
      <c r="M90" s="86">
        <v>0</v>
      </c>
      <c r="N90" s="86">
        <v>0</v>
      </c>
      <c r="O90" s="87">
        <v>0</v>
      </c>
      <c r="P90" s="135">
        <f t="shared" si="16"/>
        <v>17948721</v>
      </c>
    </row>
    <row r="91" spans="1:16" ht="25.5" customHeight="1">
      <c r="A91" s="193" t="s">
        <v>177</v>
      </c>
      <c r="B91" s="220"/>
      <c r="C91" s="212" t="s">
        <v>178</v>
      </c>
      <c r="D91" s="86">
        <f>D92</f>
        <v>832000</v>
      </c>
      <c r="E91" s="86">
        <f>E92</f>
        <v>832000</v>
      </c>
      <c r="F91" s="174">
        <v>0</v>
      </c>
      <c r="G91" s="174">
        <v>0</v>
      </c>
      <c r="H91" s="174"/>
      <c r="I91" s="174">
        <v>0</v>
      </c>
      <c r="J91" s="174">
        <v>0</v>
      </c>
      <c r="K91" s="174">
        <v>0</v>
      </c>
      <c r="L91" s="174">
        <v>0</v>
      </c>
      <c r="M91" s="174">
        <v>0</v>
      </c>
      <c r="N91" s="174">
        <v>0</v>
      </c>
      <c r="O91" s="176">
        <v>0</v>
      </c>
      <c r="P91" s="135">
        <f t="shared" si="16"/>
        <v>832000</v>
      </c>
    </row>
    <row r="92" spans="1:16" ht="26.25" customHeight="1">
      <c r="A92" s="171" t="s">
        <v>173</v>
      </c>
      <c r="B92" s="161" t="s">
        <v>174</v>
      </c>
      <c r="C92" s="202" t="s">
        <v>175</v>
      </c>
      <c r="D92" s="85">
        <f>830000-3000-3000+8000</f>
        <v>832000</v>
      </c>
      <c r="E92" s="85">
        <f>830000-3000-3000+8000</f>
        <v>832000</v>
      </c>
      <c r="F92" s="85">
        <v>0</v>
      </c>
      <c r="G92" s="99">
        <v>0</v>
      </c>
      <c r="H92" s="86"/>
      <c r="I92" s="85">
        <v>0</v>
      </c>
      <c r="J92" s="85">
        <v>0</v>
      </c>
      <c r="K92" s="85">
        <v>0</v>
      </c>
      <c r="L92" s="85">
        <v>0</v>
      </c>
      <c r="M92" s="85">
        <v>0</v>
      </c>
      <c r="N92" s="85">
        <v>0</v>
      </c>
      <c r="O92" s="99">
        <v>0</v>
      </c>
      <c r="P92" s="135">
        <f t="shared" si="16"/>
        <v>832000</v>
      </c>
    </row>
    <row r="93" spans="1:16" ht="30" customHeight="1">
      <c r="A93" s="173"/>
      <c r="B93" s="163"/>
      <c r="C93" s="90" t="s">
        <v>151</v>
      </c>
      <c r="D93" s="85">
        <f>D96+D97+D117+D123+D120</f>
        <v>237448503</v>
      </c>
      <c r="E93" s="85">
        <f aca="true" t="shared" si="17" ref="E93:P93">E96+E97+E117+E123+E120</f>
        <v>237448503</v>
      </c>
      <c r="F93" s="85">
        <f t="shared" si="17"/>
        <v>143201779</v>
      </c>
      <c r="G93" s="85">
        <f t="shared" si="17"/>
        <v>34366314</v>
      </c>
      <c r="H93" s="85">
        <f t="shared" si="17"/>
        <v>0</v>
      </c>
      <c r="I93" s="85">
        <f>I96+I97+I117+I123+I120</f>
        <v>10811051</v>
      </c>
      <c r="J93" s="85">
        <f t="shared" si="17"/>
        <v>9581073</v>
      </c>
      <c r="K93" s="85">
        <f t="shared" si="17"/>
        <v>180948</v>
      </c>
      <c r="L93" s="85">
        <f t="shared" si="17"/>
        <v>0</v>
      </c>
      <c r="M93" s="85">
        <f t="shared" si="17"/>
        <v>1229978</v>
      </c>
      <c r="N93" s="85">
        <f t="shared" si="17"/>
        <v>1217978</v>
      </c>
      <c r="O93" s="85">
        <f t="shared" si="17"/>
        <v>1017813</v>
      </c>
      <c r="P93" s="85">
        <f t="shared" si="17"/>
        <v>248259554</v>
      </c>
    </row>
    <row r="94" spans="1:16" ht="24" customHeight="1">
      <c r="A94" s="173"/>
      <c r="B94" s="163"/>
      <c r="C94" s="91" t="s">
        <v>41</v>
      </c>
      <c r="D94" s="85"/>
      <c r="E94" s="85"/>
      <c r="F94" s="86"/>
      <c r="G94" s="87"/>
      <c r="H94" s="86"/>
      <c r="I94" s="85"/>
      <c r="J94" s="86"/>
      <c r="K94" s="86"/>
      <c r="L94" s="86"/>
      <c r="M94" s="86"/>
      <c r="N94" s="86"/>
      <c r="O94" s="87"/>
      <c r="P94" s="135"/>
    </row>
    <row r="95" spans="1:16" ht="27" customHeight="1">
      <c r="A95" s="83" t="s">
        <v>26</v>
      </c>
      <c r="B95" s="167"/>
      <c r="C95" s="93" t="s">
        <v>27</v>
      </c>
      <c r="D95" s="80">
        <f>D96</f>
        <v>417392</v>
      </c>
      <c r="E95" s="80">
        <f>E96</f>
        <v>417392</v>
      </c>
      <c r="F95" s="81">
        <f>F96</f>
        <v>313192</v>
      </c>
      <c r="G95" s="81">
        <f>G96</f>
        <v>15703</v>
      </c>
      <c r="H95" s="81"/>
      <c r="I95" s="85">
        <f>I96</f>
        <v>0</v>
      </c>
      <c r="J95" s="86">
        <v>0</v>
      </c>
      <c r="K95" s="86">
        <v>0</v>
      </c>
      <c r="L95" s="86">
        <v>0</v>
      </c>
      <c r="M95" s="86">
        <f>M96</f>
        <v>0</v>
      </c>
      <c r="N95" s="86">
        <f>N96</f>
        <v>0</v>
      </c>
      <c r="O95" s="87">
        <f>O96</f>
        <v>0</v>
      </c>
      <c r="P95" s="135">
        <f aca="true" t="shared" si="18" ref="P95:P124">D95+I95</f>
        <v>417392</v>
      </c>
    </row>
    <row r="96" spans="1:16" ht="25.5" customHeight="1">
      <c r="A96" s="78" t="s">
        <v>28</v>
      </c>
      <c r="B96" s="161" t="s">
        <v>29</v>
      </c>
      <c r="C96" s="191" t="s">
        <v>30</v>
      </c>
      <c r="D96" s="80">
        <f>412392+5000</f>
        <v>417392</v>
      </c>
      <c r="E96" s="80">
        <f>412392+5000</f>
        <v>417392</v>
      </c>
      <c r="F96" s="81">
        <v>313192</v>
      </c>
      <c r="G96" s="82">
        <v>15703</v>
      </c>
      <c r="H96" s="81"/>
      <c r="I96" s="80">
        <v>0</v>
      </c>
      <c r="J96" s="81">
        <v>0</v>
      </c>
      <c r="K96" s="86">
        <v>0</v>
      </c>
      <c r="L96" s="86">
        <v>0</v>
      </c>
      <c r="M96" s="86">
        <v>0</v>
      </c>
      <c r="N96" s="86">
        <v>0</v>
      </c>
      <c r="O96" s="87">
        <v>0</v>
      </c>
      <c r="P96" s="135">
        <f t="shared" si="18"/>
        <v>417392</v>
      </c>
    </row>
    <row r="97" spans="1:16" ht="23.25" customHeight="1">
      <c r="A97" s="83" t="s">
        <v>94</v>
      </c>
      <c r="B97" s="162"/>
      <c r="C97" s="84" t="s">
        <v>95</v>
      </c>
      <c r="D97" s="80">
        <f>D98+D100+D103+D106+D108+D112+D114+D110</f>
        <v>235663211</v>
      </c>
      <c r="E97" s="80">
        <f>E98+E100+E103+E106+E108+E112+E114+E110</f>
        <v>235663211</v>
      </c>
      <c r="F97" s="80">
        <f aca="true" t="shared" si="19" ref="F97:L97">F98+F100+F103+F106+F108+F110+F112+F114</f>
        <v>142888587</v>
      </c>
      <c r="G97" s="80">
        <f t="shared" si="19"/>
        <v>34350611</v>
      </c>
      <c r="H97" s="80"/>
      <c r="I97" s="80">
        <f>I98+I100+I103+I106+I108+I110+I112+I114</f>
        <v>10610886</v>
      </c>
      <c r="J97" s="80">
        <f t="shared" si="19"/>
        <v>9581073</v>
      </c>
      <c r="K97" s="80">
        <f t="shared" si="19"/>
        <v>180948</v>
      </c>
      <c r="L97" s="80">
        <f t="shared" si="19"/>
        <v>0</v>
      </c>
      <c r="M97" s="80">
        <f>M98+M100+M103+M106+M108+M110+M112+M114</f>
        <v>1029813</v>
      </c>
      <c r="N97" s="80">
        <f>N98+N100+N103+N106+N108+N110+N112+N114</f>
        <v>1017813</v>
      </c>
      <c r="O97" s="82">
        <f>O98+O100+O103+O106+O108+O110+O112+O114</f>
        <v>1017813</v>
      </c>
      <c r="P97" s="135">
        <f t="shared" si="18"/>
        <v>246274097</v>
      </c>
    </row>
    <row r="98" spans="1:16" ht="25.5" customHeight="1">
      <c r="A98" s="335" t="s">
        <v>99</v>
      </c>
      <c r="B98" s="277" t="s">
        <v>97</v>
      </c>
      <c r="C98" s="201" t="s">
        <v>100</v>
      </c>
      <c r="D98" s="278">
        <f>45076304+1120502+38840311+506464+37600</f>
        <v>85581181</v>
      </c>
      <c r="E98" s="278">
        <f>45076304+1120502+38840311+506464+37600</f>
        <v>85581181</v>
      </c>
      <c r="F98" s="279">
        <f>23586170+25370087</f>
        <v>48956257</v>
      </c>
      <c r="G98" s="279">
        <f>10235272+4237589</f>
        <v>14472861</v>
      </c>
      <c r="H98" s="279"/>
      <c r="I98" s="279">
        <f>8299636+391900-37600</f>
        <v>8653936</v>
      </c>
      <c r="J98" s="279">
        <v>8287636</v>
      </c>
      <c r="K98" s="279">
        <v>0</v>
      </c>
      <c r="L98" s="279">
        <v>0</v>
      </c>
      <c r="M98" s="279">
        <f>12000+391900-37600</f>
        <v>366300</v>
      </c>
      <c r="N98" s="279">
        <f>391900-37600</f>
        <v>354300</v>
      </c>
      <c r="O98" s="280">
        <f>391900-37600</f>
        <v>354300</v>
      </c>
      <c r="P98" s="281">
        <f t="shared" si="18"/>
        <v>94235117</v>
      </c>
    </row>
    <row r="99" spans="1:16" ht="22.5" customHeight="1">
      <c r="A99" s="341"/>
      <c r="B99" s="282"/>
      <c r="C99" s="89" t="s">
        <v>105</v>
      </c>
      <c r="D99" s="283">
        <f>26349602+506464</f>
        <v>26856066</v>
      </c>
      <c r="E99" s="283">
        <f>26349602+506464</f>
        <v>26856066</v>
      </c>
      <c r="F99" s="283">
        <f>14494942-1332379</f>
        <v>13162563</v>
      </c>
      <c r="G99" s="284">
        <f>4574188+1625002</f>
        <v>6199190</v>
      </c>
      <c r="H99" s="285"/>
      <c r="I99" s="85">
        <v>0</v>
      </c>
      <c r="J99" s="86">
        <v>0</v>
      </c>
      <c r="K99" s="86">
        <v>0</v>
      </c>
      <c r="L99" s="86">
        <v>0</v>
      </c>
      <c r="M99" s="85">
        <v>0</v>
      </c>
      <c r="N99" s="85">
        <v>0</v>
      </c>
      <c r="O99" s="87">
        <v>0</v>
      </c>
      <c r="P99" s="135">
        <f>D99+I99</f>
        <v>26856066</v>
      </c>
    </row>
    <row r="100" spans="1:16" ht="31.5" customHeight="1">
      <c r="A100" s="340" t="s">
        <v>101</v>
      </c>
      <c r="B100" s="192" t="s">
        <v>102</v>
      </c>
      <c r="C100" s="270" t="s">
        <v>103</v>
      </c>
      <c r="D100" s="117">
        <f>67920586+493326+1637172+80800+65033746+121000+1341031+109320</f>
        <v>136736981</v>
      </c>
      <c r="E100" s="117">
        <f>67920586+493326+1637172+80800+65033746+121000+1341031+109320</f>
        <v>136736981</v>
      </c>
      <c r="F100" s="117">
        <f>40195630+43846918+233815+314804</f>
        <v>84591167</v>
      </c>
      <c r="G100" s="118">
        <f>12547024+6126414-40887</f>
        <v>18632551</v>
      </c>
      <c r="H100" s="119"/>
      <c r="I100" s="117">
        <f>1279997+904633-80800-121000-109320+30000</f>
        <v>1903510</v>
      </c>
      <c r="J100" s="117">
        <v>1279997</v>
      </c>
      <c r="K100" s="119">
        <v>180948</v>
      </c>
      <c r="L100" s="119">
        <v>0</v>
      </c>
      <c r="M100" s="119">
        <f>904633-80800-121000-109320+30000</f>
        <v>623513</v>
      </c>
      <c r="N100" s="119">
        <f>904633-80800-121000-109320+30000</f>
        <v>623513</v>
      </c>
      <c r="O100" s="118">
        <f>904633-80800-121000-109320+30000</f>
        <v>623513</v>
      </c>
      <c r="P100" s="148">
        <f t="shared" si="18"/>
        <v>138640491</v>
      </c>
    </row>
    <row r="101" spans="1:16" ht="33" customHeight="1">
      <c r="A101" s="340"/>
      <c r="B101" s="163"/>
      <c r="C101" s="286" t="s">
        <v>104</v>
      </c>
      <c r="D101" s="80">
        <f>53688573+493326+38161157+285254</f>
        <v>92628310</v>
      </c>
      <c r="E101" s="80">
        <f>53688573+493326+38161157+285254</f>
        <v>92628310</v>
      </c>
      <c r="F101" s="86">
        <f>32453105+28787245+233815+36494</f>
        <v>61510659</v>
      </c>
      <c r="G101" s="87">
        <f>11086852+3040718-64381</f>
        <v>14063189</v>
      </c>
      <c r="H101" s="86"/>
      <c r="I101" s="85">
        <v>0</v>
      </c>
      <c r="J101" s="86">
        <v>0</v>
      </c>
      <c r="K101" s="86">
        <v>0</v>
      </c>
      <c r="L101" s="86">
        <v>0</v>
      </c>
      <c r="M101" s="86">
        <v>0</v>
      </c>
      <c r="N101" s="86">
        <v>0</v>
      </c>
      <c r="O101" s="87">
        <v>0</v>
      </c>
      <c r="P101" s="135">
        <f t="shared" si="18"/>
        <v>92628310</v>
      </c>
    </row>
    <row r="102" spans="1:16" ht="23.25" customHeight="1">
      <c r="A102" s="341"/>
      <c r="B102" s="163"/>
      <c r="C102" s="89" t="s">
        <v>105</v>
      </c>
      <c r="D102" s="80">
        <f>6365861+1055777</f>
        <v>7421638</v>
      </c>
      <c r="E102" s="80">
        <f>6365861+1055777</f>
        <v>7421638</v>
      </c>
      <c r="F102" s="81">
        <f>4952759+314804-36494</f>
        <v>5231069</v>
      </c>
      <c r="G102" s="82">
        <v>36494</v>
      </c>
      <c r="H102" s="86"/>
      <c r="I102" s="85">
        <v>0</v>
      </c>
      <c r="J102" s="86">
        <v>0</v>
      </c>
      <c r="K102" s="86">
        <v>0</v>
      </c>
      <c r="L102" s="86">
        <v>0</v>
      </c>
      <c r="M102" s="85">
        <v>0</v>
      </c>
      <c r="N102" s="85">
        <v>0</v>
      </c>
      <c r="O102" s="87">
        <v>0</v>
      </c>
      <c r="P102" s="135">
        <f t="shared" si="18"/>
        <v>7421638</v>
      </c>
    </row>
    <row r="103" spans="1:16" ht="24" customHeight="1">
      <c r="A103" s="335" t="s">
        <v>106</v>
      </c>
      <c r="B103" s="192" t="s">
        <v>102</v>
      </c>
      <c r="C103" s="270" t="s">
        <v>107</v>
      </c>
      <c r="D103" s="117">
        <f>802419+688274+15910</f>
        <v>1506603</v>
      </c>
      <c r="E103" s="117">
        <f>802419+688274+15910</f>
        <v>1506603</v>
      </c>
      <c r="F103" s="119">
        <f>476364+542819</f>
        <v>1019183</v>
      </c>
      <c r="G103" s="118">
        <f>147488+26035</f>
        <v>173523</v>
      </c>
      <c r="H103" s="119"/>
      <c r="I103" s="117">
        <v>0</v>
      </c>
      <c r="J103" s="119">
        <v>0</v>
      </c>
      <c r="K103" s="119">
        <v>0</v>
      </c>
      <c r="L103" s="119">
        <v>0</v>
      </c>
      <c r="M103" s="119">
        <v>0</v>
      </c>
      <c r="N103" s="119">
        <v>0</v>
      </c>
      <c r="O103" s="118">
        <v>0</v>
      </c>
      <c r="P103" s="135">
        <f t="shared" si="18"/>
        <v>1506603</v>
      </c>
    </row>
    <row r="104" spans="1:16" ht="32.25" customHeight="1">
      <c r="A104" s="340"/>
      <c r="B104" s="163"/>
      <c r="C104" s="286" t="s">
        <v>104</v>
      </c>
      <c r="D104" s="80">
        <v>455470</v>
      </c>
      <c r="E104" s="80">
        <v>455470</v>
      </c>
      <c r="F104" s="81">
        <v>373332</v>
      </c>
      <c r="G104" s="82">
        <v>0</v>
      </c>
      <c r="H104" s="86"/>
      <c r="I104" s="85">
        <v>0</v>
      </c>
      <c r="J104" s="86">
        <v>0</v>
      </c>
      <c r="K104" s="86">
        <v>0</v>
      </c>
      <c r="L104" s="86">
        <v>0</v>
      </c>
      <c r="M104" s="86">
        <v>0</v>
      </c>
      <c r="N104" s="86">
        <v>0</v>
      </c>
      <c r="O104" s="87">
        <v>0</v>
      </c>
      <c r="P104" s="135">
        <f t="shared" si="18"/>
        <v>455470</v>
      </c>
    </row>
    <row r="105" spans="1:16" ht="20.25" customHeight="1">
      <c r="A105" s="341"/>
      <c r="B105" s="163"/>
      <c r="C105" s="89" t="s">
        <v>105</v>
      </c>
      <c r="D105" s="80">
        <f>68850+15910</f>
        <v>84760</v>
      </c>
      <c r="E105" s="80">
        <f>68850+15910</f>
        <v>84760</v>
      </c>
      <c r="F105" s="81">
        <v>56190</v>
      </c>
      <c r="G105" s="82">
        <v>0</v>
      </c>
      <c r="H105" s="86"/>
      <c r="I105" s="85">
        <v>0</v>
      </c>
      <c r="J105" s="86">
        <v>0</v>
      </c>
      <c r="K105" s="86">
        <v>0</v>
      </c>
      <c r="L105" s="86">
        <v>0</v>
      </c>
      <c r="M105" s="86">
        <v>0</v>
      </c>
      <c r="N105" s="86">
        <v>0</v>
      </c>
      <c r="O105" s="87">
        <v>0</v>
      </c>
      <c r="P105" s="135">
        <f t="shared" si="18"/>
        <v>84760</v>
      </c>
    </row>
    <row r="106" spans="1:16" ht="24" customHeight="1">
      <c r="A106" s="335" t="s">
        <v>108</v>
      </c>
      <c r="B106" s="161" t="s">
        <v>109</v>
      </c>
      <c r="C106" s="201" t="s">
        <v>110</v>
      </c>
      <c r="D106" s="81">
        <f>3710577+128193+3379075+26942+26000</f>
        <v>7270787</v>
      </c>
      <c r="E106" s="81">
        <f>3710577+128193+3379075+26942+26000</f>
        <v>7270787</v>
      </c>
      <c r="F106" s="81">
        <f>2460701+2613088</f>
        <v>5073789</v>
      </c>
      <c r="G106" s="81">
        <f>669944+191108</f>
        <v>861052</v>
      </c>
      <c r="H106" s="81"/>
      <c r="I106" s="81">
        <f>13440+40000</f>
        <v>53440</v>
      </c>
      <c r="J106" s="81">
        <v>13440</v>
      </c>
      <c r="K106" s="86">
        <v>0</v>
      </c>
      <c r="L106" s="86">
        <v>0</v>
      </c>
      <c r="M106" s="86">
        <v>40000</v>
      </c>
      <c r="N106" s="86">
        <v>40000</v>
      </c>
      <c r="O106" s="87">
        <v>40000</v>
      </c>
      <c r="P106" s="135">
        <f t="shared" si="18"/>
        <v>7324227</v>
      </c>
    </row>
    <row r="107" spans="1:16" ht="22.5" customHeight="1">
      <c r="A107" s="341"/>
      <c r="B107" s="161"/>
      <c r="C107" s="89" t="s">
        <v>105</v>
      </c>
      <c r="D107" s="80">
        <f>312492+26942</f>
        <v>339434</v>
      </c>
      <c r="E107" s="80">
        <f>312492+26942</f>
        <v>339434</v>
      </c>
      <c r="F107" s="81">
        <v>256140</v>
      </c>
      <c r="G107" s="82">
        <v>0</v>
      </c>
      <c r="H107" s="81"/>
      <c r="I107" s="85">
        <v>0</v>
      </c>
      <c r="J107" s="86">
        <v>0</v>
      </c>
      <c r="K107" s="86">
        <v>0</v>
      </c>
      <c r="L107" s="86">
        <v>0</v>
      </c>
      <c r="M107" s="86">
        <v>0</v>
      </c>
      <c r="N107" s="86">
        <v>0</v>
      </c>
      <c r="O107" s="87">
        <v>0</v>
      </c>
      <c r="P107" s="135">
        <f>D107+I107</f>
        <v>339434</v>
      </c>
    </row>
    <row r="108" spans="1:16" ht="23.25" customHeight="1">
      <c r="A108" s="335" t="s">
        <v>111</v>
      </c>
      <c r="B108" s="161" t="s">
        <v>112</v>
      </c>
      <c r="C108" s="191" t="s">
        <v>113</v>
      </c>
      <c r="D108" s="80">
        <f>439252+414008+6395</f>
        <v>859655</v>
      </c>
      <c r="E108" s="80">
        <f>439252+414008+6395</f>
        <v>859655</v>
      </c>
      <c r="F108" s="81">
        <f>320031+326523</f>
        <v>646554</v>
      </c>
      <c r="G108" s="82">
        <f>32589+15650</f>
        <v>48239</v>
      </c>
      <c r="H108" s="81"/>
      <c r="I108" s="85">
        <v>0</v>
      </c>
      <c r="J108" s="86">
        <v>0</v>
      </c>
      <c r="K108" s="86">
        <v>0</v>
      </c>
      <c r="L108" s="86">
        <v>0</v>
      </c>
      <c r="M108" s="86">
        <v>0</v>
      </c>
      <c r="N108" s="86">
        <v>0</v>
      </c>
      <c r="O108" s="87">
        <v>0</v>
      </c>
      <c r="P108" s="135">
        <f t="shared" si="18"/>
        <v>859655</v>
      </c>
    </row>
    <row r="109" spans="1:16" ht="21.75" customHeight="1">
      <c r="A109" s="336"/>
      <c r="B109" s="161"/>
      <c r="C109" s="89" t="s">
        <v>105</v>
      </c>
      <c r="D109" s="80">
        <f>32640+6395</f>
        <v>39035</v>
      </c>
      <c r="E109" s="80">
        <f>32640+6395</f>
        <v>39035</v>
      </c>
      <c r="F109" s="81">
        <v>26754</v>
      </c>
      <c r="G109" s="82">
        <v>0</v>
      </c>
      <c r="H109" s="81"/>
      <c r="I109" s="85"/>
      <c r="J109" s="86"/>
      <c r="K109" s="86"/>
      <c r="L109" s="86"/>
      <c r="M109" s="86"/>
      <c r="N109" s="86"/>
      <c r="O109" s="87"/>
      <c r="P109" s="135"/>
    </row>
    <row r="110" spans="1:16" ht="25.5" customHeight="1">
      <c r="A110" s="335" t="s">
        <v>114</v>
      </c>
      <c r="B110" s="161" t="s">
        <v>112</v>
      </c>
      <c r="C110" s="191" t="s">
        <v>115</v>
      </c>
      <c r="D110" s="80">
        <f>313688+267592+22072</f>
        <v>603352</v>
      </c>
      <c r="E110" s="80">
        <f>313688+267592+22072</f>
        <v>603352</v>
      </c>
      <c r="F110" s="81">
        <f>201594+209424</f>
        <v>411018</v>
      </c>
      <c r="G110" s="82">
        <f>15384+12095</f>
        <v>27479</v>
      </c>
      <c r="H110" s="81"/>
      <c r="I110" s="85">
        <v>0</v>
      </c>
      <c r="J110" s="86">
        <v>0</v>
      </c>
      <c r="K110" s="86">
        <v>0</v>
      </c>
      <c r="L110" s="86">
        <v>0</v>
      </c>
      <c r="M110" s="86">
        <v>0</v>
      </c>
      <c r="N110" s="86">
        <v>0</v>
      </c>
      <c r="O110" s="87">
        <v>0</v>
      </c>
      <c r="P110" s="135">
        <f t="shared" si="18"/>
        <v>603352</v>
      </c>
    </row>
    <row r="111" spans="1:16" ht="25.5" customHeight="1">
      <c r="A111" s="336"/>
      <c r="B111" s="161"/>
      <c r="C111" s="89" t="s">
        <v>105</v>
      </c>
      <c r="D111" s="80">
        <f>25868+22072</f>
        <v>47940</v>
      </c>
      <c r="E111" s="80">
        <f>25868+22072</f>
        <v>47940</v>
      </c>
      <c r="F111" s="81">
        <v>21203</v>
      </c>
      <c r="G111" s="82">
        <v>0</v>
      </c>
      <c r="H111" s="81"/>
      <c r="I111" s="85"/>
      <c r="J111" s="86"/>
      <c r="K111" s="86"/>
      <c r="L111" s="86"/>
      <c r="M111" s="86"/>
      <c r="N111" s="86"/>
      <c r="O111" s="87"/>
      <c r="P111" s="135"/>
    </row>
    <row r="112" spans="1:16" ht="21.75" customHeight="1">
      <c r="A112" s="335" t="s">
        <v>116</v>
      </c>
      <c r="B112" s="161" t="s">
        <v>112</v>
      </c>
      <c r="C112" s="191" t="s">
        <v>117</v>
      </c>
      <c r="D112" s="80">
        <f>1563185+1367641+115906</f>
        <v>3046732</v>
      </c>
      <c r="E112" s="80">
        <f>1563185+1367641+115906</f>
        <v>3046732</v>
      </c>
      <c r="F112" s="81">
        <f>1109411+1081208</f>
        <v>2190619</v>
      </c>
      <c r="G112" s="82">
        <f>71036+48567+15303</f>
        <v>134906</v>
      </c>
      <c r="H112" s="81"/>
      <c r="I112" s="85">
        <v>0</v>
      </c>
      <c r="J112" s="86">
        <v>0</v>
      </c>
      <c r="K112" s="86">
        <v>0</v>
      </c>
      <c r="L112" s="86">
        <v>0</v>
      </c>
      <c r="M112" s="86">
        <v>0</v>
      </c>
      <c r="N112" s="86">
        <v>0</v>
      </c>
      <c r="O112" s="87">
        <v>0</v>
      </c>
      <c r="P112" s="135">
        <f t="shared" si="18"/>
        <v>3046732</v>
      </c>
    </row>
    <row r="113" spans="1:16" ht="23.25" customHeight="1">
      <c r="A113" s="336"/>
      <c r="B113" s="161"/>
      <c r="C113" s="89" t="s">
        <v>105</v>
      </c>
      <c r="D113" s="80">
        <f>105287+115906</f>
        <v>221193</v>
      </c>
      <c r="E113" s="80">
        <f>105287+115906</f>
        <v>221193</v>
      </c>
      <c r="F113" s="81">
        <v>86300</v>
      </c>
      <c r="G113" s="82">
        <v>15303</v>
      </c>
      <c r="H113" s="81"/>
      <c r="I113" s="85"/>
      <c r="J113" s="86"/>
      <c r="K113" s="86"/>
      <c r="L113" s="86"/>
      <c r="M113" s="86"/>
      <c r="N113" s="86"/>
      <c r="O113" s="87"/>
      <c r="P113" s="135"/>
    </row>
    <row r="114" spans="1:16" ht="35.25" customHeight="1">
      <c r="A114" s="335" t="s">
        <v>118</v>
      </c>
      <c r="B114" s="161" t="s">
        <v>112</v>
      </c>
      <c r="C114" s="191" t="s">
        <v>119</v>
      </c>
      <c r="D114" s="85">
        <f>27150+30770</f>
        <v>57920</v>
      </c>
      <c r="E114" s="85">
        <f>27150+30770</f>
        <v>57920</v>
      </c>
      <c r="F114" s="86">
        <v>0</v>
      </c>
      <c r="G114" s="87">
        <v>0</v>
      </c>
      <c r="H114" s="86"/>
      <c r="I114" s="85">
        <v>0</v>
      </c>
      <c r="J114" s="86">
        <v>0</v>
      </c>
      <c r="K114" s="86">
        <v>0</v>
      </c>
      <c r="L114" s="86">
        <v>0</v>
      </c>
      <c r="M114" s="86">
        <v>0</v>
      </c>
      <c r="N114" s="86">
        <v>0</v>
      </c>
      <c r="O114" s="87">
        <v>0</v>
      </c>
      <c r="P114" s="135">
        <f t="shared" si="18"/>
        <v>57920</v>
      </c>
    </row>
    <row r="115" spans="1:16" ht="24" customHeight="1">
      <c r="A115" s="336"/>
      <c r="B115" s="161"/>
      <c r="C115" s="89" t="s">
        <v>105</v>
      </c>
      <c r="D115" s="85">
        <v>30770</v>
      </c>
      <c r="E115" s="85">
        <v>30770</v>
      </c>
      <c r="F115" s="85">
        <v>0</v>
      </c>
      <c r="G115" s="99">
        <v>0</v>
      </c>
      <c r="H115" s="86"/>
      <c r="I115" s="85">
        <v>0</v>
      </c>
      <c r="J115" s="85">
        <v>0</v>
      </c>
      <c r="K115" s="85">
        <v>0</v>
      </c>
      <c r="L115" s="85">
        <v>0</v>
      </c>
      <c r="M115" s="85">
        <v>0</v>
      </c>
      <c r="N115" s="85">
        <v>0</v>
      </c>
      <c r="O115" s="99">
        <v>0</v>
      </c>
      <c r="P115" s="135">
        <f t="shared" si="18"/>
        <v>30770</v>
      </c>
    </row>
    <row r="116" spans="1:16" ht="28.5" customHeight="1">
      <c r="A116" s="100" t="s">
        <v>31</v>
      </c>
      <c r="B116" s="165"/>
      <c r="C116" s="101" t="s">
        <v>32</v>
      </c>
      <c r="D116" s="85">
        <f>D117</f>
        <v>391433</v>
      </c>
      <c r="E116" s="85">
        <f>E117</f>
        <v>391433</v>
      </c>
      <c r="F116" s="85">
        <f>F117</f>
        <v>0</v>
      </c>
      <c r="G116" s="85">
        <f>G117</f>
        <v>0</v>
      </c>
      <c r="H116" s="85"/>
      <c r="I116" s="85">
        <f aca="true" t="shared" si="20" ref="I116:O116">I117</f>
        <v>0</v>
      </c>
      <c r="J116" s="85">
        <f t="shared" si="20"/>
        <v>0</v>
      </c>
      <c r="K116" s="85">
        <f t="shared" si="20"/>
        <v>0</v>
      </c>
      <c r="L116" s="85">
        <f t="shared" si="20"/>
        <v>0</v>
      </c>
      <c r="M116" s="85">
        <f t="shared" si="20"/>
        <v>0</v>
      </c>
      <c r="N116" s="85">
        <f t="shared" si="20"/>
        <v>0</v>
      </c>
      <c r="O116" s="99">
        <f t="shared" si="20"/>
        <v>0</v>
      </c>
      <c r="P116" s="135">
        <f t="shared" si="18"/>
        <v>391433</v>
      </c>
    </row>
    <row r="117" spans="1:16" ht="39.75" customHeight="1">
      <c r="A117" s="190" t="s">
        <v>120</v>
      </c>
      <c r="B117" s="161" t="s">
        <v>34</v>
      </c>
      <c r="C117" s="191" t="s">
        <v>132</v>
      </c>
      <c r="D117" s="85">
        <f>D118</f>
        <v>391433</v>
      </c>
      <c r="E117" s="85">
        <f>E118</f>
        <v>391433</v>
      </c>
      <c r="F117" s="86">
        <v>0</v>
      </c>
      <c r="G117" s="87">
        <v>0</v>
      </c>
      <c r="H117" s="86"/>
      <c r="I117" s="85">
        <v>0</v>
      </c>
      <c r="J117" s="86">
        <v>0</v>
      </c>
      <c r="K117" s="86">
        <v>0</v>
      </c>
      <c r="L117" s="86">
        <v>0</v>
      </c>
      <c r="M117" s="86">
        <v>0</v>
      </c>
      <c r="N117" s="86">
        <v>0</v>
      </c>
      <c r="O117" s="87">
        <v>0</v>
      </c>
      <c r="P117" s="135">
        <f t="shared" si="18"/>
        <v>391433</v>
      </c>
    </row>
    <row r="118" spans="1:16" ht="29.25" customHeight="1">
      <c r="A118" s="190"/>
      <c r="B118" s="192"/>
      <c r="C118" s="89" t="s">
        <v>147</v>
      </c>
      <c r="D118" s="85">
        <v>391433</v>
      </c>
      <c r="E118" s="85">
        <v>391433</v>
      </c>
      <c r="F118" s="86">
        <v>0</v>
      </c>
      <c r="G118" s="87">
        <v>0</v>
      </c>
      <c r="H118" s="86"/>
      <c r="I118" s="85">
        <v>0</v>
      </c>
      <c r="J118" s="86">
        <v>0</v>
      </c>
      <c r="K118" s="86">
        <v>0</v>
      </c>
      <c r="L118" s="86">
        <v>0</v>
      </c>
      <c r="M118" s="86">
        <v>0</v>
      </c>
      <c r="N118" s="86">
        <v>0</v>
      </c>
      <c r="O118" s="87">
        <v>0</v>
      </c>
      <c r="P118" s="135">
        <f t="shared" si="18"/>
        <v>391433</v>
      </c>
    </row>
    <row r="119" spans="1:16" ht="26.25" customHeight="1">
      <c r="A119" s="171" t="s">
        <v>182</v>
      </c>
      <c r="B119" s="192"/>
      <c r="C119" s="89" t="s">
        <v>185</v>
      </c>
      <c r="D119" s="85">
        <v>0</v>
      </c>
      <c r="E119" s="85">
        <v>0</v>
      </c>
      <c r="F119" s="85">
        <v>0</v>
      </c>
      <c r="G119" s="99">
        <v>0</v>
      </c>
      <c r="H119" s="86"/>
      <c r="I119" s="85">
        <f>I120</f>
        <v>200165</v>
      </c>
      <c r="J119" s="85">
        <f aca="true" t="shared" si="21" ref="J119:P119">J120</f>
        <v>0</v>
      </c>
      <c r="K119" s="85">
        <f t="shared" si="21"/>
        <v>0</v>
      </c>
      <c r="L119" s="85">
        <f t="shared" si="21"/>
        <v>0</v>
      </c>
      <c r="M119" s="85">
        <f t="shared" si="21"/>
        <v>200165</v>
      </c>
      <c r="N119" s="85">
        <f t="shared" si="21"/>
        <v>200165</v>
      </c>
      <c r="O119" s="85">
        <f t="shared" si="21"/>
        <v>0</v>
      </c>
      <c r="P119" s="85">
        <f t="shared" si="21"/>
        <v>200165</v>
      </c>
    </row>
    <row r="120" spans="1:16" ht="25.5" customHeight="1">
      <c r="A120" s="333" t="s">
        <v>183</v>
      </c>
      <c r="B120" s="192" t="s">
        <v>184</v>
      </c>
      <c r="C120" s="89" t="s">
        <v>186</v>
      </c>
      <c r="D120" s="85">
        <v>0</v>
      </c>
      <c r="E120" s="85">
        <v>0</v>
      </c>
      <c r="F120" s="85">
        <v>0</v>
      </c>
      <c r="G120" s="99">
        <v>0</v>
      </c>
      <c r="H120" s="86"/>
      <c r="I120" s="85">
        <v>200165</v>
      </c>
      <c r="J120" s="85">
        <v>0</v>
      </c>
      <c r="K120" s="85">
        <v>0</v>
      </c>
      <c r="L120" s="85">
        <v>0</v>
      </c>
      <c r="M120" s="85">
        <v>200165</v>
      </c>
      <c r="N120" s="85">
        <v>200165</v>
      </c>
      <c r="O120" s="99">
        <v>0</v>
      </c>
      <c r="P120" s="135">
        <f t="shared" si="18"/>
        <v>200165</v>
      </c>
    </row>
    <row r="121" spans="1:16" ht="31.5" customHeight="1">
      <c r="A121" s="334"/>
      <c r="B121" s="192"/>
      <c r="C121" s="89" t="s">
        <v>105</v>
      </c>
      <c r="D121" s="85">
        <v>0</v>
      </c>
      <c r="E121" s="85">
        <v>0</v>
      </c>
      <c r="F121" s="85">
        <v>0</v>
      </c>
      <c r="G121" s="99">
        <v>0</v>
      </c>
      <c r="H121" s="86"/>
      <c r="I121" s="85">
        <v>200165</v>
      </c>
      <c r="J121" s="85">
        <v>0</v>
      </c>
      <c r="K121" s="85">
        <v>0</v>
      </c>
      <c r="L121" s="85">
        <v>0</v>
      </c>
      <c r="M121" s="85">
        <v>200165</v>
      </c>
      <c r="N121" s="85">
        <v>200165</v>
      </c>
      <c r="O121" s="99">
        <v>0</v>
      </c>
      <c r="P121" s="135">
        <f t="shared" si="18"/>
        <v>200165</v>
      </c>
    </row>
    <row r="122" spans="1:16" ht="22.5" customHeight="1">
      <c r="A122" s="193" t="s">
        <v>177</v>
      </c>
      <c r="B122" s="220"/>
      <c r="C122" s="194" t="s">
        <v>178</v>
      </c>
      <c r="D122" s="85">
        <f>D123</f>
        <v>976467</v>
      </c>
      <c r="E122" s="85">
        <f>E123</f>
        <v>976467</v>
      </c>
      <c r="F122" s="85">
        <f aca="true" t="shared" si="22" ref="F122:O122">F123+F124</f>
        <v>0</v>
      </c>
      <c r="G122" s="85">
        <f t="shared" si="22"/>
        <v>0</v>
      </c>
      <c r="H122" s="85"/>
      <c r="I122" s="85">
        <f t="shared" si="22"/>
        <v>0</v>
      </c>
      <c r="J122" s="85">
        <f t="shared" si="22"/>
        <v>0</v>
      </c>
      <c r="K122" s="85">
        <f t="shared" si="22"/>
        <v>0</v>
      </c>
      <c r="L122" s="85">
        <f t="shared" si="22"/>
        <v>0</v>
      </c>
      <c r="M122" s="85">
        <f t="shared" si="22"/>
        <v>0</v>
      </c>
      <c r="N122" s="85">
        <f t="shared" si="22"/>
        <v>0</v>
      </c>
      <c r="O122" s="85">
        <f t="shared" si="22"/>
        <v>0</v>
      </c>
      <c r="P122" s="135">
        <f t="shared" si="18"/>
        <v>976467</v>
      </c>
    </row>
    <row r="123" spans="1:16" ht="25.5" customHeight="1">
      <c r="A123" s="333" t="s">
        <v>173</v>
      </c>
      <c r="B123" s="192" t="s">
        <v>174</v>
      </c>
      <c r="C123" s="89" t="s">
        <v>176</v>
      </c>
      <c r="D123" s="85">
        <f>220000+3000+3000+750467</f>
        <v>976467</v>
      </c>
      <c r="E123" s="85">
        <f>220000+3000+3000+750467</f>
        <v>976467</v>
      </c>
      <c r="F123" s="85">
        <v>0</v>
      </c>
      <c r="G123" s="86">
        <v>0</v>
      </c>
      <c r="H123" s="85"/>
      <c r="I123" s="85">
        <v>0</v>
      </c>
      <c r="J123" s="85">
        <v>0</v>
      </c>
      <c r="K123" s="85">
        <v>0</v>
      </c>
      <c r="L123" s="85">
        <v>0</v>
      </c>
      <c r="M123" s="85">
        <v>0</v>
      </c>
      <c r="N123" s="85">
        <v>0</v>
      </c>
      <c r="O123" s="99">
        <v>0</v>
      </c>
      <c r="P123" s="135">
        <f t="shared" si="18"/>
        <v>976467</v>
      </c>
    </row>
    <row r="124" spans="1:16" ht="24.75" customHeight="1">
      <c r="A124" s="334"/>
      <c r="B124" s="192"/>
      <c r="C124" s="89" t="s">
        <v>105</v>
      </c>
      <c r="D124" s="85">
        <v>750467</v>
      </c>
      <c r="E124" s="85">
        <v>750467</v>
      </c>
      <c r="F124" s="85">
        <v>0</v>
      </c>
      <c r="G124" s="85">
        <v>0</v>
      </c>
      <c r="H124" s="85"/>
      <c r="I124" s="85">
        <v>0</v>
      </c>
      <c r="J124" s="85">
        <v>0</v>
      </c>
      <c r="K124" s="85">
        <v>0</v>
      </c>
      <c r="L124" s="85">
        <v>0</v>
      </c>
      <c r="M124" s="85">
        <v>0</v>
      </c>
      <c r="N124" s="85">
        <v>0</v>
      </c>
      <c r="O124" s="99">
        <v>0</v>
      </c>
      <c r="P124" s="135">
        <f t="shared" si="18"/>
        <v>750467</v>
      </c>
    </row>
    <row r="125" spans="1:16" ht="31.5" customHeight="1">
      <c r="A125" s="171"/>
      <c r="B125" s="163"/>
      <c r="C125" s="90" t="s">
        <v>152</v>
      </c>
      <c r="D125" s="85">
        <f>D127+D129</f>
        <v>860161</v>
      </c>
      <c r="E125" s="85">
        <f aca="true" t="shared" si="23" ref="E125:O125">E127+E129</f>
        <v>860161</v>
      </c>
      <c r="F125" s="85">
        <f t="shared" si="23"/>
        <v>613121</v>
      </c>
      <c r="G125" s="85">
        <f t="shared" si="23"/>
        <v>27877</v>
      </c>
      <c r="H125" s="85"/>
      <c r="I125" s="85">
        <f t="shared" si="23"/>
        <v>15000</v>
      </c>
      <c r="J125" s="85">
        <f t="shared" si="23"/>
        <v>0</v>
      </c>
      <c r="K125" s="85">
        <f t="shared" si="23"/>
        <v>0</v>
      </c>
      <c r="L125" s="85">
        <f t="shared" si="23"/>
        <v>0</v>
      </c>
      <c r="M125" s="85">
        <f t="shared" si="23"/>
        <v>15000</v>
      </c>
      <c r="N125" s="85">
        <f t="shared" si="23"/>
        <v>15000</v>
      </c>
      <c r="O125" s="99">
        <f t="shared" si="23"/>
        <v>15000</v>
      </c>
      <c r="P125" s="135">
        <f>P128+P130</f>
        <v>875161</v>
      </c>
    </row>
    <row r="126" spans="1:16" ht="17.25" customHeight="1">
      <c r="A126" s="171"/>
      <c r="B126" s="163"/>
      <c r="C126" s="91" t="s">
        <v>41</v>
      </c>
      <c r="D126" s="85"/>
      <c r="E126" s="85"/>
      <c r="F126" s="85"/>
      <c r="G126" s="99"/>
      <c r="H126" s="86"/>
      <c r="I126" s="85"/>
      <c r="J126" s="85"/>
      <c r="K126" s="85"/>
      <c r="L126" s="85"/>
      <c r="M126" s="85"/>
      <c r="N126" s="85"/>
      <c r="O126" s="99"/>
      <c r="P126" s="135"/>
    </row>
    <row r="127" spans="1:16" ht="27.75" customHeight="1">
      <c r="A127" s="83" t="s">
        <v>26</v>
      </c>
      <c r="B127" s="162"/>
      <c r="C127" s="93" t="s">
        <v>27</v>
      </c>
      <c r="D127" s="85">
        <f>D128</f>
        <v>816561</v>
      </c>
      <c r="E127" s="85">
        <f>E128</f>
        <v>816561</v>
      </c>
      <c r="F127" s="85">
        <f>F128</f>
        <v>613121</v>
      </c>
      <c r="G127" s="85">
        <f>G128</f>
        <v>27877</v>
      </c>
      <c r="H127" s="85"/>
      <c r="I127" s="85">
        <f>I128</f>
        <v>15000</v>
      </c>
      <c r="J127" s="85">
        <f aca="true" t="shared" si="24" ref="J127:P127">J128</f>
        <v>0</v>
      </c>
      <c r="K127" s="85">
        <f t="shared" si="24"/>
        <v>0</v>
      </c>
      <c r="L127" s="85">
        <f t="shared" si="24"/>
        <v>0</v>
      </c>
      <c r="M127" s="85">
        <f t="shared" si="24"/>
        <v>15000</v>
      </c>
      <c r="N127" s="85">
        <f t="shared" si="24"/>
        <v>15000</v>
      </c>
      <c r="O127" s="99">
        <f t="shared" si="24"/>
        <v>15000</v>
      </c>
      <c r="P127" s="135">
        <f t="shared" si="24"/>
        <v>831561</v>
      </c>
    </row>
    <row r="128" spans="1:16" ht="30" customHeight="1">
      <c r="A128" s="188" t="s">
        <v>28</v>
      </c>
      <c r="B128" s="161" t="s">
        <v>29</v>
      </c>
      <c r="C128" s="79" t="s">
        <v>30</v>
      </c>
      <c r="D128" s="85">
        <f>812561+2000+2000</f>
        <v>816561</v>
      </c>
      <c r="E128" s="85">
        <f>812561+2000+2000</f>
        <v>816561</v>
      </c>
      <c r="F128" s="85">
        <v>613121</v>
      </c>
      <c r="G128" s="85">
        <v>27877</v>
      </c>
      <c r="H128" s="85"/>
      <c r="I128" s="85">
        <f>J128+M128</f>
        <v>15000</v>
      </c>
      <c r="J128" s="86">
        <v>0</v>
      </c>
      <c r="K128" s="86">
        <v>0</v>
      </c>
      <c r="L128" s="86">
        <v>0</v>
      </c>
      <c r="M128" s="86">
        <f>17000-2000</f>
        <v>15000</v>
      </c>
      <c r="N128" s="86">
        <f>17000-2000</f>
        <v>15000</v>
      </c>
      <c r="O128" s="87">
        <f>17000-2000</f>
        <v>15000</v>
      </c>
      <c r="P128" s="135">
        <f>D128+I128</f>
        <v>831561</v>
      </c>
    </row>
    <row r="129" spans="1:16" ht="30" customHeight="1">
      <c r="A129" s="100" t="s">
        <v>31</v>
      </c>
      <c r="B129" s="168"/>
      <c r="C129" s="101" t="s">
        <v>32</v>
      </c>
      <c r="D129" s="102">
        <f>D130</f>
        <v>43600</v>
      </c>
      <c r="E129" s="102">
        <f aca="true" t="shared" si="25" ref="E129:P129">E130</f>
        <v>43600</v>
      </c>
      <c r="F129" s="102">
        <f t="shared" si="25"/>
        <v>0</v>
      </c>
      <c r="G129" s="102">
        <f t="shared" si="25"/>
        <v>0</v>
      </c>
      <c r="H129" s="102"/>
      <c r="I129" s="102">
        <f t="shared" si="25"/>
        <v>0</v>
      </c>
      <c r="J129" s="102">
        <f t="shared" si="25"/>
        <v>0</v>
      </c>
      <c r="K129" s="102">
        <f t="shared" si="25"/>
        <v>0</v>
      </c>
      <c r="L129" s="102">
        <f t="shared" si="25"/>
        <v>0</v>
      </c>
      <c r="M129" s="102">
        <f t="shared" si="25"/>
        <v>0</v>
      </c>
      <c r="N129" s="102">
        <f t="shared" si="25"/>
        <v>0</v>
      </c>
      <c r="O129" s="133">
        <f t="shared" si="25"/>
        <v>0</v>
      </c>
      <c r="P129" s="134">
        <f t="shared" si="25"/>
        <v>43600</v>
      </c>
    </row>
    <row r="130" spans="1:16" ht="30" customHeight="1">
      <c r="A130" s="287" t="s">
        <v>171</v>
      </c>
      <c r="B130" s="271" t="s">
        <v>34</v>
      </c>
      <c r="C130" s="79" t="s">
        <v>172</v>
      </c>
      <c r="D130" s="102">
        <v>43600</v>
      </c>
      <c r="E130" s="102">
        <v>43600</v>
      </c>
      <c r="F130" s="86">
        <v>0</v>
      </c>
      <c r="G130" s="87">
        <v>0</v>
      </c>
      <c r="H130" s="86"/>
      <c r="I130" s="85">
        <v>0</v>
      </c>
      <c r="J130" s="86">
        <v>0</v>
      </c>
      <c r="K130" s="86">
        <v>0</v>
      </c>
      <c r="L130" s="86">
        <v>0</v>
      </c>
      <c r="M130" s="86">
        <v>0</v>
      </c>
      <c r="N130" s="86">
        <v>0</v>
      </c>
      <c r="O130" s="87">
        <v>0</v>
      </c>
      <c r="P130" s="135">
        <f>D130+I130</f>
        <v>43600</v>
      </c>
    </row>
    <row r="131" spans="1:16" ht="30" customHeight="1">
      <c r="A131" s="172"/>
      <c r="B131" s="169"/>
      <c r="C131" s="120" t="s">
        <v>153</v>
      </c>
      <c r="D131" s="102">
        <f>D134</f>
        <v>1073067</v>
      </c>
      <c r="E131" s="102">
        <f>E134</f>
        <v>1073067</v>
      </c>
      <c r="F131" s="103">
        <f>F134</f>
        <v>703461</v>
      </c>
      <c r="G131" s="104">
        <f>G134</f>
        <v>34642</v>
      </c>
      <c r="H131" s="103"/>
      <c r="I131" s="102">
        <f>I134</f>
        <v>0</v>
      </c>
      <c r="J131" s="103">
        <v>0</v>
      </c>
      <c r="K131" s="103">
        <v>0</v>
      </c>
      <c r="L131" s="103">
        <v>0</v>
      </c>
      <c r="M131" s="103">
        <v>0</v>
      </c>
      <c r="N131" s="103">
        <v>0</v>
      </c>
      <c r="O131" s="104">
        <v>0</v>
      </c>
      <c r="P131" s="134">
        <f>D131+I131</f>
        <v>1073067</v>
      </c>
    </row>
    <row r="132" spans="1:16" ht="18.75" customHeight="1">
      <c r="A132" s="172"/>
      <c r="B132" s="169"/>
      <c r="C132" s="79" t="s">
        <v>41</v>
      </c>
      <c r="D132" s="85"/>
      <c r="E132" s="102"/>
      <c r="F132" s="103"/>
      <c r="G132" s="104"/>
      <c r="H132" s="103"/>
      <c r="I132" s="102"/>
      <c r="J132" s="103"/>
      <c r="K132" s="103"/>
      <c r="L132" s="103"/>
      <c r="M132" s="103"/>
      <c r="N132" s="103"/>
      <c r="O132" s="104"/>
      <c r="P132" s="134"/>
    </row>
    <row r="133" spans="1:16" ht="30" customHeight="1">
      <c r="A133" s="83" t="s">
        <v>26</v>
      </c>
      <c r="B133" s="162"/>
      <c r="C133" s="93" t="s">
        <v>27</v>
      </c>
      <c r="D133" s="102">
        <f>D134</f>
        <v>1073067</v>
      </c>
      <c r="E133" s="102">
        <f>E134</f>
        <v>1073067</v>
      </c>
      <c r="F133" s="102">
        <f>F134</f>
        <v>703461</v>
      </c>
      <c r="G133" s="102">
        <f>G134</f>
        <v>34642</v>
      </c>
      <c r="H133" s="102"/>
      <c r="I133" s="102">
        <f aca="true" t="shared" si="26" ref="I133:O133">I134</f>
        <v>0</v>
      </c>
      <c r="J133" s="102">
        <f t="shared" si="26"/>
        <v>0</v>
      </c>
      <c r="K133" s="102">
        <f t="shared" si="26"/>
        <v>0</v>
      </c>
      <c r="L133" s="102">
        <f t="shared" si="26"/>
        <v>0</v>
      </c>
      <c r="M133" s="102">
        <f t="shared" si="26"/>
        <v>0</v>
      </c>
      <c r="N133" s="102">
        <f t="shared" si="26"/>
        <v>0</v>
      </c>
      <c r="O133" s="133">
        <f t="shared" si="26"/>
        <v>0</v>
      </c>
      <c r="P133" s="134">
        <f>E133+I133</f>
        <v>1073067</v>
      </c>
    </row>
    <row r="134" spans="1:16" ht="30.75" customHeight="1" thickBot="1">
      <c r="A134" s="288" t="s">
        <v>28</v>
      </c>
      <c r="B134" s="189" t="s">
        <v>29</v>
      </c>
      <c r="C134" s="289" t="s">
        <v>30</v>
      </c>
      <c r="D134" s="290">
        <f>988067+85000</f>
        <v>1073067</v>
      </c>
      <c r="E134" s="290">
        <f>988067+85000</f>
        <v>1073067</v>
      </c>
      <c r="F134" s="291">
        <v>703461</v>
      </c>
      <c r="G134" s="113">
        <v>34642</v>
      </c>
      <c r="H134" s="112"/>
      <c r="I134" s="111">
        <v>0</v>
      </c>
      <c r="J134" s="112">
        <v>0</v>
      </c>
      <c r="K134" s="112">
        <v>0</v>
      </c>
      <c r="L134" s="112">
        <v>0</v>
      </c>
      <c r="M134" s="112">
        <v>0</v>
      </c>
      <c r="N134" s="112">
        <v>0</v>
      </c>
      <c r="O134" s="113">
        <v>0</v>
      </c>
      <c r="P134" s="147">
        <f>E134+I134</f>
        <v>1073067</v>
      </c>
    </row>
    <row r="135" spans="1:16" ht="20.25" customHeight="1" thickBot="1">
      <c r="A135" s="213"/>
      <c r="B135" s="214"/>
      <c r="C135" s="215" t="s">
        <v>121</v>
      </c>
      <c r="D135" s="216">
        <f>D131+D125+D93+D38+D30+D15</f>
        <v>456490279.71000004</v>
      </c>
      <c r="E135" s="216">
        <f>E131+E125+E93+E38+E30+E15</f>
        <v>456490279.71000004</v>
      </c>
      <c r="F135" s="216">
        <f>F131+F125+F93+F38+F30+F15</f>
        <v>157545398.5</v>
      </c>
      <c r="G135" s="216">
        <f>G131+G125+G93+G38+G30+G15</f>
        <v>35954550</v>
      </c>
      <c r="H135" s="216">
        <v>0</v>
      </c>
      <c r="I135" s="216">
        <f>I15+I30+I38+I93+I125+I131</f>
        <v>11196849</v>
      </c>
      <c r="J135" s="216">
        <f aca="true" t="shared" si="27" ref="J135:O135">J15+J30+J38+J93+J125+J131</f>
        <v>9653941</v>
      </c>
      <c r="K135" s="216">
        <f t="shared" si="27"/>
        <v>214659</v>
      </c>
      <c r="L135" s="216">
        <f t="shared" si="27"/>
        <v>0</v>
      </c>
      <c r="M135" s="216">
        <f t="shared" si="27"/>
        <v>1542908</v>
      </c>
      <c r="N135" s="216">
        <f t="shared" si="27"/>
        <v>1530908</v>
      </c>
      <c r="O135" s="217">
        <f t="shared" si="27"/>
        <v>1330743</v>
      </c>
      <c r="P135" s="218">
        <f>P15+P38+P93+P125+P131+P30</f>
        <v>467687128.71000004</v>
      </c>
    </row>
    <row r="136" spans="1:16" ht="18" customHeight="1">
      <c r="A136" s="33"/>
      <c r="B136" s="34"/>
      <c r="C136" s="47"/>
      <c r="D136" s="35"/>
      <c r="E136" s="35"/>
      <c r="F136" s="35"/>
      <c r="G136" s="35"/>
      <c r="H136" s="35"/>
      <c r="I136" s="35"/>
      <c r="J136" s="35"/>
      <c r="K136" s="36"/>
      <c r="L136" s="35"/>
      <c r="M136" s="37"/>
      <c r="N136" s="37"/>
      <c r="O136" s="35"/>
      <c r="P136" s="37"/>
    </row>
    <row r="137" spans="1:16" ht="7.5" customHeight="1">
      <c r="A137" s="33"/>
      <c r="B137" s="34"/>
      <c r="C137" s="47"/>
      <c r="D137" s="38"/>
      <c r="E137" s="38"/>
      <c r="F137" s="38"/>
      <c r="G137" s="38"/>
      <c r="H137" s="38"/>
      <c r="I137" s="38"/>
      <c r="J137" s="38"/>
      <c r="K137" s="33"/>
      <c r="L137" s="38"/>
      <c r="M137" s="39"/>
      <c r="N137" s="39"/>
      <c r="O137" s="38"/>
      <c r="P137" s="39"/>
    </row>
    <row r="138" spans="1:16" ht="9.75" customHeight="1">
      <c r="A138" s="33"/>
      <c r="B138" s="34"/>
      <c r="C138" s="47"/>
      <c r="D138" s="33"/>
      <c r="E138" s="33"/>
      <c r="F138" s="39"/>
      <c r="G138" s="39"/>
      <c r="H138" s="39"/>
      <c r="I138" s="40"/>
      <c r="J138" s="40"/>
      <c r="K138" s="38"/>
      <c r="L138" s="38"/>
      <c r="M138" s="33"/>
      <c r="N138" s="33"/>
      <c r="O138" s="33"/>
      <c r="P138" s="33"/>
    </row>
    <row r="139" spans="1:16" ht="26.25" customHeight="1">
      <c r="A139" s="33"/>
      <c r="B139" s="34"/>
      <c r="C139" s="73" t="s">
        <v>157</v>
      </c>
      <c r="D139" s="74"/>
      <c r="E139" s="74"/>
      <c r="F139" s="74"/>
      <c r="G139" s="74"/>
      <c r="H139" s="74"/>
      <c r="I139" s="75"/>
      <c r="J139" s="75" t="s">
        <v>122</v>
      </c>
      <c r="K139" s="38"/>
      <c r="L139" s="38"/>
      <c r="M139" s="33"/>
      <c r="N139" s="33"/>
      <c r="O139" s="33"/>
      <c r="P139" s="33"/>
    </row>
    <row r="140" spans="1:16" ht="27.75" customHeight="1">
      <c r="A140" s="33"/>
      <c r="B140" s="34"/>
      <c r="C140" s="47"/>
      <c r="D140" s="33"/>
      <c r="E140" s="33"/>
      <c r="F140" s="39"/>
      <c r="G140" s="39"/>
      <c r="H140" s="39"/>
      <c r="I140" s="40"/>
      <c r="J140" s="40"/>
      <c r="K140" s="38"/>
      <c r="L140" s="38"/>
      <c r="M140" s="33"/>
      <c r="N140" s="33"/>
      <c r="O140" s="33"/>
      <c r="P140" s="33"/>
    </row>
    <row r="141" ht="20.25" customHeight="1">
      <c r="B141" s="41"/>
    </row>
    <row r="142" spans="2:16" ht="28.5" customHeight="1">
      <c r="B142" s="41"/>
      <c r="D142" s="42"/>
      <c r="E142" s="42"/>
      <c r="F142" s="42"/>
      <c r="G142" s="42"/>
      <c r="H142" s="42"/>
      <c r="I142" s="42"/>
      <c r="J142" s="42"/>
      <c r="K142" s="42"/>
      <c r="L142" s="42"/>
      <c r="M142" s="42"/>
      <c r="N142" s="42"/>
      <c r="O142" s="42"/>
      <c r="P142" s="42"/>
    </row>
    <row r="143" spans="2:16" ht="26.25" customHeight="1">
      <c r="B143" s="41"/>
      <c r="D143" s="42"/>
      <c r="E143" s="42"/>
      <c r="F143" s="42"/>
      <c r="G143" s="42"/>
      <c r="H143" s="42"/>
      <c r="I143" s="42"/>
      <c r="J143" s="42"/>
      <c r="K143" s="42"/>
      <c r="L143" s="42"/>
      <c r="M143" s="42"/>
      <c r="N143" s="42"/>
      <c r="O143" s="42"/>
      <c r="P143" s="42"/>
    </row>
    <row r="144" spans="2:5" ht="26.25" customHeight="1">
      <c r="B144" s="41"/>
      <c r="D144" s="65"/>
      <c r="E144" s="42"/>
    </row>
    <row r="145" spans="2:5" ht="28.5" customHeight="1">
      <c r="B145" s="41"/>
      <c r="D145" s="65"/>
      <c r="E145" s="65"/>
    </row>
    <row r="146" spans="2:5" ht="29.25" customHeight="1">
      <c r="B146" s="41"/>
      <c r="D146" s="65"/>
      <c r="E146" s="42"/>
    </row>
    <row r="147" spans="2:5" ht="35.25" customHeight="1">
      <c r="B147" s="41"/>
      <c r="C147" s="48"/>
      <c r="D147" s="66"/>
      <c r="E147" s="43"/>
    </row>
    <row r="148" spans="2:5" ht="25.5" customHeight="1">
      <c r="B148" s="41"/>
      <c r="C148" s="49"/>
      <c r="D148" s="42"/>
      <c r="E148" s="42"/>
    </row>
    <row r="149" spans="2:7" ht="33" customHeight="1">
      <c r="B149" s="41"/>
      <c r="C149" s="49"/>
      <c r="D149" s="65"/>
      <c r="E149" s="65"/>
      <c r="F149" s="65"/>
      <c r="G149" s="65"/>
    </row>
    <row r="150" spans="2:7" ht="33" customHeight="1">
      <c r="B150" s="41"/>
      <c r="C150" s="48"/>
      <c r="D150" s="65"/>
      <c r="E150" s="65"/>
      <c r="F150" s="65"/>
      <c r="G150" s="65"/>
    </row>
    <row r="151" ht="37.5" customHeight="1">
      <c r="B151" s="41"/>
    </row>
    <row r="152" spans="2:5" ht="37.5" customHeight="1">
      <c r="B152" s="41"/>
      <c r="C152" s="49"/>
      <c r="D152" s="65"/>
      <c r="E152" s="42"/>
    </row>
    <row r="153" ht="33.75" customHeight="1">
      <c r="B153" s="41"/>
    </row>
    <row r="154" spans="2:7" ht="33.75" customHeight="1">
      <c r="B154" s="41"/>
      <c r="D154" s="65"/>
      <c r="E154" s="65"/>
      <c r="F154" s="65"/>
      <c r="G154" s="65"/>
    </row>
    <row r="155" ht="29.25" customHeight="1">
      <c r="B155" s="41"/>
    </row>
    <row r="156" spans="2:5" ht="32.25" customHeight="1">
      <c r="B156" s="41"/>
      <c r="D156" s="65">
        <f>D99+D102+D105+D107+D109+D111+D113+D115</f>
        <v>35040836</v>
      </c>
      <c r="E156" s="65">
        <f>E99+E102+E105+E107+E109+E111+E113+E115</f>
        <v>35040836</v>
      </c>
    </row>
    <row r="157" ht="37.5" customHeight="1">
      <c r="B157" s="41"/>
    </row>
    <row r="158" ht="37.5" customHeight="1">
      <c r="B158" s="41"/>
    </row>
    <row r="159" ht="45.75" customHeight="1">
      <c r="B159" s="41"/>
    </row>
    <row r="160" ht="28.5" customHeight="1">
      <c r="B160" s="41"/>
    </row>
    <row r="161" ht="45.75" customHeight="1">
      <c r="B161" s="41"/>
    </row>
    <row r="162" ht="25.5" customHeight="1">
      <c r="B162" s="41"/>
    </row>
    <row r="163" ht="25.5" customHeight="1">
      <c r="B163" s="41"/>
    </row>
    <row r="164" ht="25.5" customHeight="1">
      <c r="B164" s="41"/>
    </row>
    <row r="165" ht="25.5" customHeight="1">
      <c r="B165" s="41"/>
    </row>
    <row r="166" ht="25.5" customHeight="1">
      <c r="B166" s="41"/>
    </row>
    <row r="167" ht="33" customHeight="1">
      <c r="B167" s="41"/>
    </row>
    <row r="168" ht="25.5" customHeight="1">
      <c r="B168" s="41"/>
    </row>
    <row r="169" ht="25.5" customHeight="1">
      <c r="B169" s="41"/>
    </row>
    <row r="170" ht="34.5" customHeight="1">
      <c r="B170" s="41"/>
    </row>
    <row r="171" ht="23.25" customHeight="1">
      <c r="B171" s="41"/>
    </row>
    <row r="172" ht="26.25" customHeight="1">
      <c r="B172" s="41"/>
    </row>
    <row r="173" ht="45" customHeight="1">
      <c r="B173" s="41"/>
    </row>
    <row r="174" ht="31.5" customHeight="1">
      <c r="B174" s="41"/>
    </row>
    <row r="175" ht="24" customHeight="1">
      <c r="B175" s="41"/>
    </row>
    <row r="176" ht="33.75" customHeight="1">
      <c r="B176" s="41"/>
    </row>
    <row r="177" ht="31.5" customHeight="1">
      <c r="B177" s="41"/>
    </row>
    <row r="178" ht="24" customHeight="1">
      <c r="B178" s="41"/>
    </row>
    <row r="179" ht="20.25" customHeight="1">
      <c r="B179" s="41"/>
    </row>
    <row r="180" ht="22.5" customHeight="1">
      <c r="B180" s="41"/>
    </row>
    <row r="181" ht="17.25" customHeight="1">
      <c r="B181" s="41"/>
    </row>
    <row r="182" ht="18.75" customHeight="1">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spans="1:16" s="2" customFormat="1" ht="12.75">
      <c r="A196" s="4"/>
      <c r="B196" s="41"/>
      <c r="C196" s="44"/>
      <c r="D196" s="4"/>
      <c r="E196" s="4"/>
      <c r="F196" s="4"/>
      <c r="G196" s="4"/>
      <c r="H196" s="4"/>
      <c r="I196" s="4"/>
      <c r="J196" s="4"/>
      <c r="K196" s="4"/>
      <c r="L196" s="4"/>
      <c r="M196" s="4"/>
      <c r="N196" s="4"/>
      <c r="O196" s="4"/>
      <c r="P196" s="4"/>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sheetData>
  <sheetProtection/>
  <mergeCells count="37">
    <mergeCell ref="A114:A115"/>
    <mergeCell ref="A28:A29"/>
    <mergeCell ref="D11:D13"/>
    <mergeCell ref="F12:F13"/>
    <mergeCell ref="A112:A113"/>
    <mergeCell ref="A10:A13"/>
    <mergeCell ref="B10:B13"/>
    <mergeCell ref="A35:A37"/>
    <mergeCell ref="C10:C13"/>
    <mergeCell ref="A108:A109"/>
    <mergeCell ref="A110:A111"/>
    <mergeCell ref="A106:A107"/>
    <mergeCell ref="P10:P13"/>
    <mergeCell ref="D10:H10"/>
    <mergeCell ref="K12:K13"/>
    <mergeCell ref="L12:L13"/>
    <mergeCell ref="N12:N13"/>
    <mergeCell ref="J11:J13"/>
    <mergeCell ref="M11:M13"/>
    <mergeCell ref="I10:O10"/>
    <mergeCell ref="A43:A44"/>
    <mergeCell ref="A79:A80"/>
    <mergeCell ref="A103:A105"/>
    <mergeCell ref="A100:A102"/>
    <mergeCell ref="A81:A82"/>
    <mergeCell ref="A83:A84"/>
    <mergeCell ref="A98:A99"/>
    <mergeCell ref="A123:A124"/>
    <mergeCell ref="A120:A121"/>
    <mergeCell ref="A85:A86"/>
    <mergeCell ref="N11:O11"/>
    <mergeCell ref="I11:I13"/>
    <mergeCell ref="G12:G13"/>
    <mergeCell ref="E11:G11"/>
    <mergeCell ref="H11:H13"/>
    <mergeCell ref="E12:E13"/>
    <mergeCell ref="K11:L11"/>
  </mergeCells>
  <printOptions/>
  <pageMargins left="0.5905511811023623" right="0.3937007874015748" top="0.3937007874015748" bottom="0.3937007874015748" header="0.5118110236220472" footer="0.5118110236220472"/>
  <pageSetup fitToHeight="5" fitToWidth="1" horizontalDpi="600" verticalDpi="600" orientation="landscape" paperSize="9" scale="50" r:id="rId3"/>
  <rowBreaks count="1" manualBreakCount="1">
    <brk id="37"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2016-10-16T06:40:30Z</cp:lastPrinted>
  <dcterms:created xsi:type="dcterms:W3CDTF">2016-03-21T14:24:29Z</dcterms:created>
  <dcterms:modified xsi:type="dcterms:W3CDTF">2016-10-16T09:49:49Z</dcterms:modified>
  <cp:category/>
  <cp:version/>
  <cp:contentType/>
  <cp:contentStatus/>
</cp:coreProperties>
</file>