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640" activeTab="0"/>
  </bookViews>
  <sheets>
    <sheet name="Лист1" sheetId="1" r:id="rId1"/>
  </sheets>
  <definedNames>
    <definedName name="_xlnm.Print_Area" localSheetId="0">'Лист1'!$A$1:$P$164</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<sst xmlns="http://schemas.openxmlformats.org/spreadsheetml/2006/main" count="322" uniqueCount="201">
  <si>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</si>
  <si>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всього</t>
  </si>
  <si>
    <t xml:space="preserve">          з них</t>
  </si>
  <si>
    <t>оплата праці</t>
  </si>
  <si>
    <t>комунальні послуги та енергносії</t>
  </si>
  <si>
    <t>Всього</t>
  </si>
  <si>
    <t>Споживання</t>
  </si>
  <si>
    <t>оплату праці</t>
  </si>
  <si>
    <t xml:space="preserve">         з них</t>
  </si>
  <si>
    <t>бюджет розвитку</t>
  </si>
  <si>
    <t xml:space="preserve">  Разом</t>
  </si>
  <si>
    <t>з них</t>
  </si>
  <si>
    <t>до рішення районної у місті ради</t>
  </si>
  <si>
    <t>від________________№________</t>
  </si>
  <si>
    <t>тис.грн.</t>
  </si>
  <si>
    <t>010116</t>
  </si>
  <si>
    <t>091101</t>
  </si>
  <si>
    <t>100203</t>
  </si>
  <si>
    <t>090201</t>
  </si>
  <si>
    <t>090202</t>
  </si>
  <si>
    <t>090203</t>
  </si>
  <si>
    <t>090204</t>
  </si>
  <si>
    <t>090207</t>
  </si>
  <si>
    <t>090209</t>
  </si>
  <si>
    <t>090214</t>
  </si>
  <si>
    <t>090215</t>
  </si>
  <si>
    <t>090216</t>
  </si>
  <si>
    <t>090302</t>
  </si>
  <si>
    <t>090303</t>
  </si>
  <si>
    <t>090304</t>
  </si>
  <si>
    <t>090305</t>
  </si>
  <si>
    <t>090306</t>
  </si>
  <si>
    <t>090307</t>
  </si>
  <si>
    <t>090308</t>
  </si>
  <si>
    <t>090401</t>
  </si>
  <si>
    <t>090405</t>
  </si>
  <si>
    <t>090406</t>
  </si>
  <si>
    <t>090412</t>
  </si>
  <si>
    <t>090414</t>
  </si>
  <si>
    <t>091204</t>
  </si>
  <si>
    <t>091205</t>
  </si>
  <si>
    <t>070303</t>
  </si>
  <si>
    <t>091209</t>
  </si>
  <si>
    <t>091300</t>
  </si>
  <si>
    <t>070101</t>
  </si>
  <si>
    <t>070201</t>
  </si>
  <si>
    <t>070202</t>
  </si>
  <si>
    <t>070401</t>
  </si>
  <si>
    <t>070802</t>
  </si>
  <si>
    <t>070803</t>
  </si>
  <si>
    <t>070804</t>
  </si>
  <si>
    <t>070808</t>
  </si>
  <si>
    <t>091108</t>
  </si>
  <si>
    <t>090802</t>
  </si>
  <si>
    <t xml:space="preserve">Утримання центру соціальних служб для сім"ї, дітей та молоді </t>
  </si>
  <si>
    <t>Всього:</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</si>
  <si>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</si>
  <si>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 на придбання твердого палива та скрапленого газу</t>
  </si>
  <si>
    <t>в тому числі за рахунок субвенції з міського бюджету:</t>
  </si>
  <si>
    <t>110104</t>
  </si>
  <si>
    <t>Видатки на заходи , передбачені державними і місцевими програмами розвитку культури і мистецтва</t>
  </si>
  <si>
    <t>091103</t>
  </si>
  <si>
    <t>130102</t>
  </si>
  <si>
    <t>130106</t>
  </si>
  <si>
    <t>Проведення навчально-тренувальних зборів і змагань</t>
  </si>
  <si>
    <t>Проведення навчально-тренувальних зборів і змагань з неолімпійських видів спорту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</si>
  <si>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</si>
  <si>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</si>
  <si>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Додаток 2</t>
  </si>
  <si>
    <t>Код тимчасової класифікації видатків та кредитування місцевого бюджету</t>
  </si>
  <si>
    <t xml:space="preserve"> Загальний  фонд</t>
  </si>
  <si>
    <t>видатки споживання</t>
  </si>
  <si>
    <t>у тому числі:</t>
  </si>
  <si>
    <t>091102</t>
  </si>
  <si>
    <t>240602</t>
  </si>
  <si>
    <t>видатки розвитку</t>
  </si>
  <si>
    <t xml:space="preserve"> видатки розвитку</t>
  </si>
  <si>
    <t xml:space="preserve">  Спеціальний фонд</t>
  </si>
  <si>
    <t>Код функциональної класификации видатків та кредитування бюджету</t>
  </si>
  <si>
    <t>Найменування згідно з типовою відомчою / тимчасовою класифікацією видатків та кредитування бюджету</t>
  </si>
  <si>
    <t>капітальні видатки за рахунок коштів, що передаються із загального фонду до бюджету розвитку (спеціального фонду))</t>
  </si>
  <si>
    <t>Державне управління</t>
  </si>
  <si>
    <t>Органи місцевого самоврядування, утримання апарату управління</t>
  </si>
  <si>
    <t>0111</t>
  </si>
  <si>
    <t>1040</t>
  </si>
  <si>
    <t>Програма і заходи центру соціальних служб для сім"ї , дітей та молоді</t>
  </si>
  <si>
    <t>Соціальні програми і заходи державних органів у справах молоді</t>
  </si>
  <si>
    <t>010000</t>
  </si>
  <si>
    <t>0829</t>
  </si>
  <si>
    <t>0810</t>
  </si>
  <si>
    <t>Благоустрій  міст, сіл, селищ</t>
  </si>
  <si>
    <t>0620</t>
  </si>
  <si>
    <t>0512</t>
  </si>
  <si>
    <t>Утилізація відходів</t>
  </si>
  <si>
    <t>1030</t>
  </si>
  <si>
    <t xml:space="preserve">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</si>
  <si>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</si>
  <si>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</si>
  <si>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</si>
  <si>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r>
      <t>в тому числі за рахунок субвенції з державного бюджету</t>
    </r>
    <r>
      <rPr>
        <sz val="10"/>
        <rFont val="Arial Cyr"/>
        <family val="0"/>
      </rPr>
      <t xml:space="preserve">                                                                   місцевим бюджетам на надання пільг з послуг зв"язку, інших передбачених законодавством пільг (крім пільг на одержання ліків, зубопротезування , оплату електроенергія,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</si>
  <si>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 xml:space="preserve">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</si>
  <si>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1070</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</si>
  <si>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</si>
  <si>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</si>
  <si>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Допомога до досягнення дитиною трирічного віку</t>
  </si>
  <si>
    <t>1060</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</si>
  <si>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</si>
  <si>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</si>
  <si>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</si>
  <si>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1090</t>
  </si>
  <si>
    <t>1020</t>
  </si>
  <si>
    <t>Територіальні центри соціального обслуговування (надання соціальних послуг)</t>
  </si>
  <si>
    <t>1010</t>
  </si>
  <si>
    <t>Фінансова підтримка громадських організацій інвалідів і ветеранів</t>
  </si>
  <si>
    <t>0133</t>
  </si>
  <si>
    <t>Інші видатки</t>
  </si>
  <si>
    <t>090413</t>
  </si>
  <si>
    <t>Допомога на догляд за інвалідом I-II групи внаслідок психічного розладу</t>
  </si>
  <si>
    <t>Дитячи будинки ( в т.ч. сімейного типу, прийомні сім"ї)</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</si>
  <si>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</si>
  <si>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0910</t>
  </si>
  <si>
    <t>Загальноосвітні школи (в т.ч. школа-дитячий садок, інтернат при школі), спеціалізовані школи, ліцеї, гімназії, колегіуми</t>
  </si>
  <si>
    <t>0921</t>
  </si>
  <si>
    <t>Вечірні (змінні) школи</t>
  </si>
  <si>
    <t>0960</t>
  </si>
  <si>
    <t>Позашкільні заклади освіти, заходи із позашкільної роботи з дітьми</t>
  </si>
  <si>
    <t>0990</t>
  </si>
  <si>
    <t>Служба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</si>
  <si>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</si>
  <si>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 -сиротам та дітям, позбавленим батьківського піклування, яким виповнюється 18 років</t>
  </si>
  <si>
    <t>Інші програми соціального захисту дітей</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</si>
  <si>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</si>
  <si>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250203</t>
  </si>
  <si>
    <t>0160</t>
  </si>
  <si>
    <t>Проведення виборів народних депутатів Верховної ради Автономної республіки Крим, місцевих рад та сільських, селищних, міських голів</t>
  </si>
  <si>
    <t>20 Управління-служба у справах дітей Бабушкінської районної у місті ради, всього</t>
  </si>
  <si>
    <t>в тому числі:</t>
  </si>
  <si>
    <t>75 Фінансове управління Бабушкінської районної у місті ради, всього:</t>
  </si>
  <si>
    <t>01 Бабушкінська районна у місті рада, всього:</t>
  </si>
  <si>
    <t>10 Відділ освіти Бабушкінської районної у місті ради, всього:</t>
  </si>
  <si>
    <t>15 Управління праці та соціального захисту населення Бабушкінської районної у місті ради, всього:</t>
  </si>
  <si>
    <t>41 Відділ комунального господарства Бабушкінської районної у місти ради , всього:</t>
  </si>
  <si>
    <t>070000</t>
  </si>
  <si>
    <t>Освіта</t>
  </si>
  <si>
    <t>090000</t>
  </si>
  <si>
    <t>Соціальний захист та соціальне забезпечення</t>
  </si>
  <si>
    <t>150000</t>
  </si>
  <si>
    <t>Будівництво</t>
  </si>
  <si>
    <t>250000</t>
  </si>
  <si>
    <t>Видатки , не віднесені до основних груп</t>
  </si>
  <si>
    <t>100000</t>
  </si>
  <si>
    <t>Житлово-комунальне господарство</t>
  </si>
  <si>
    <t>240000</t>
  </si>
  <si>
    <t>Цільові фонди</t>
  </si>
  <si>
    <t>130000</t>
  </si>
  <si>
    <t>Фізична культура і спорт</t>
  </si>
  <si>
    <t>110000</t>
  </si>
  <si>
    <t>Культура і мистецтво</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</si>
  <si>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Чорнобільської катастрофи</t>
  </si>
  <si>
    <t>Дошкільні  заклади освіти</t>
  </si>
  <si>
    <t>Розподіл  видатків  бюджету  району  у  місті  на  2015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</si>
  <si>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t>
  </si>
  <si>
    <r>
      <t xml:space="preserve">в тому числі за рахунок  субвенції з державого бюджету </t>
    </r>
    <r>
      <rPr>
        <sz val="10"/>
        <rFont val="Arial Cyr"/>
        <family val="0"/>
      </rPr>
      <t xml:space="preserve">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r>
  </si>
  <si>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</si>
  <si>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</si>
  <si>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 xml:space="preserve">в тому числі за рахунок коштів освітньої субвенції з державного бюджету місцевим бюджетам  </t>
  </si>
  <si>
    <t>Методична робота, інші заходи у сфері народної освіти</t>
  </si>
  <si>
    <t>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</si>
  <si>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Допомога у зв"язку з вагітністю і пологами</t>
  </si>
  <si>
    <t>Допомога на дітей, над якими встановлено опіку чи піклування</t>
  </si>
  <si>
    <t>Допомога при народженні дитини</t>
  </si>
  <si>
    <t>Допомога на дітей одиноким матерям</t>
  </si>
  <si>
    <t>Тимчасова державна допомога дітям</t>
  </si>
  <si>
    <t>Допомога при усиновленні дитини</t>
  </si>
  <si>
    <t>Державна соціальна допомога інвалідам з дитинства та дітям-інвалідам</t>
  </si>
  <si>
    <r>
      <t>Державна соціальна допомога малозабезпеченим сім</t>
    </r>
    <r>
      <rPr>
        <sz val="10"/>
        <rFont val="Bookman Old Style"/>
        <family val="1"/>
      </rPr>
      <t>’</t>
    </r>
    <r>
      <rPr>
        <sz val="10"/>
        <rFont val="Arial Cyr"/>
        <family val="0"/>
      </rPr>
      <t>ям</t>
    </r>
  </si>
  <si>
    <t>250404</t>
  </si>
  <si>
    <t>150201</t>
  </si>
  <si>
    <t>Збереження,розвиток, реконструкція та реставрація пам"яток історії та культури</t>
  </si>
  <si>
    <t>180000</t>
  </si>
  <si>
    <t>180107</t>
  </si>
  <si>
    <t>0470</t>
  </si>
  <si>
    <t>Фінансування енергозберігаючих заходів</t>
  </si>
  <si>
    <t>в тому числі за рахунок субвенції з міського бюджету</t>
  </si>
  <si>
    <t>Голова Бабушкінської районної у місті Дніпропетровську ради</t>
  </si>
  <si>
    <t>Охорона навколишнього природного середовища та ядерна безпека</t>
  </si>
  <si>
    <t>Інші природоохоронні заходи</t>
  </si>
  <si>
    <t>0540</t>
  </si>
  <si>
    <t>100101</t>
  </si>
  <si>
    <t>6010</t>
  </si>
  <si>
    <t>Житлово-експлуатаційне господарстсво</t>
  </si>
  <si>
    <t>Видатки на запобігання та ліквідацію надзвичайних ситуацій та наслідків стихійного лиха</t>
  </si>
  <si>
    <t>Запобігання та ліквідація надзвичайних ситуацій та наслідків стихійного лиха</t>
  </si>
  <si>
    <r>
      <t xml:space="preserve">Інші видатки, пов </t>
    </r>
    <r>
      <rPr>
        <sz val="11"/>
        <rFont val="Bookman Old Style"/>
        <family val="1"/>
      </rPr>
      <t>’</t>
    </r>
    <r>
      <rPr>
        <sz val="11"/>
        <rFont val="Arial"/>
        <family val="2"/>
      </rPr>
      <t>язані з економічною діяльністю</t>
    </r>
  </si>
  <si>
    <t>0320</t>
  </si>
  <si>
    <t>100106</t>
  </si>
  <si>
    <t>0610</t>
  </si>
  <si>
    <t>Капітальний ремонт житлового фонду об"єднань співвласників багатоквартирних будинків</t>
  </si>
  <si>
    <t xml:space="preserve">в тому числі за рахунок коштів субвенції з державного бюджету </t>
  </si>
  <si>
    <t>осв  субвенц</t>
  </si>
  <si>
    <t>М.П.Ситник</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</si>
</sst>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5">
    <font>
      <sz val="10"/>
      <name val="Arial Cyr"/>
      <family val="0"/>
    </font>
    <font>
      <b/>
      <sz val="12"/>
      <name val="Arial Cyr"/>
      <family val="0"/>
    </font>
    <font>
      <sz val="8"/>
      <name val="Arial Cyr"/>
      <family val="0"/>
    </font>
    <font>
      <sz val="8"/>
      <name val="Tahoma"/>
      <family val="0"/>
    </font>
    <font>
      <b/>
      <sz val="8"/>
      <name val="Tahoma"/>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Arial Cyr"/>
      <family val="0"/>
    </font>
    <font>
      <b/>
      <sz val="11"/>
      <name val="Arial"/>
      <family val="2"/>
    </font>
    <font>
      <b/>
      <sz val="10"/>
      <name val="Arial Cyr"/>
      <family val="0"/>
    </font>
    <font>
      <b/>
      <sz val="10"/>
      <name val="Arial"/>
      <family val="2"/>
    </font>
    <font>
      <sz val="11"/>
      <name val="Arial Cyr"/>
      <family val="0"/>
    </font>
    <font>
      <sz val="10"/>
      <name val="Bookman Old Style"/>
      <family val="1"/>
    </font>
    <font>
      <sz val="16"/>
      <color indexed="10"/>
      <name val="Arial Cyr"/>
      <family val="0"/>
    </font>
    <font>
      <sz val="11"/>
      <name val="Arial"/>
      <family val="2"/>
    </font>
    <font>
      <sz val="11"/>
      <name val="Bookman Old Style"/>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medium"/>
      <right style="medium"/>
      <top>
        <color indexed="63"/>
      </top>
      <bottom style="medium"/>
    </border>
    <border>
      <left style="medium"/>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color indexed="63"/>
      </left>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thin"/>
      <bottom>
        <color indexed="63"/>
      </bottom>
    </border>
    <border>
      <left style="medium"/>
      <right style="medium"/>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color indexed="63"/>
      </bottom>
    </border>
    <border>
      <left style="thin"/>
      <right style="thin"/>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7" fillId="0" borderId="0">
      <alignment/>
      <protection/>
    </xf>
    <xf numFmtId="0" fontId="6"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318">
    <xf numFmtId="0" fontId="0" fillId="0" borderId="0" xfId="0" applyAlignment="1">
      <alignment/>
    </xf>
    <xf numFmtId="0" fontId="0" fillId="0" borderId="0" xfId="0" applyFill="1" applyBorder="1" applyAlignment="1">
      <alignment/>
    </xf>
    <xf numFmtId="49" fontId="0" fillId="0" borderId="0" xfId="0" applyNumberFormat="1" applyFill="1" applyBorder="1" applyAlignment="1">
      <alignment horizontal="center"/>
    </xf>
    <xf numFmtId="0" fontId="0" fillId="0" borderId="0" xfId="0" applyFill="1" applyAlignment="1">
      <alignment/>
    </xf>
    <xf numFmtId="0" fontId="1" fillId="0" borderId="0" xfId="0" applyFont="1" applyFill="1" applyAlignment="1">
      <alignment/>
    </xf>
    <xf numFmtId="165" fontId="0" fillId="0" borderId="0" xfId="0" applyNumberFormat="1" applyFill="1" applyAlignment="1">
      <alignment/>
    </xf>
    <xf numFmtId="0" fontId="0" fillId="0" borderId="0" xfId="0" applyFont="1" applyFill="1" applyAlignment="1">
      <alignment/>
    </xf>
    <xf numFmtId="165" fontId="0" fillId="0" borderId="0" xfId="0" applyNumberFormat="1" applyFont="1" applyFill="1" applyBorder="1" applyAlignment="1">
      <alignment/>
    </xf>
    <xf numFmtId="0" fontId="0" fillId="0" borderId="0" xfId="0" applyFont="1" applyFill="1" applyBorder="1" applyAlignment="1">
      <alignment/>
    </xf>
    <xf numFmtId="165" fontId="0" fillId="0" borderId="0" xfId="0" applyNumberFormat="1" applyFill="1" applyBorder="1" applyAlignment="1">
      <alignment/>
    </xf>
    <xf numFmtId="49" fontId="0" fillId="0" borderId="0" xfId="0" applyNumberFormat="1" applyFill="1" applyAlignment="1">
      <alignment horizontal="center"/>
    </xf>
    <xf numFmtId="0" fontId="0" fillId="0" borderId="0" xfId="0" applyFill="1" applyAlignment="1">
      <alignment horizontal="right"/>
    </xf>
    <xf numFmtId="165" fontId="0" fillId="0" borderId="0" xfId="0" applyNumberFormat="1" applyFont="1" applyFill="1" applyAlignment="1">
      <alignment/>
    </xf>
    <xf numFmtId="0" fontId="0" fillId="0" borderId="0" xfId="0" applyFill="1" applyBorder="1" applyAlignment="1">
      <alignment horizontal="center"/>
    </xf>
    <xf numFmtId="0" fontId="0" fillId="0" borderId="10" xfId="0" applyFill="1" applyBorder="1" applyAlignment="1">
      <alignment/>
    </xf>
    <xf numFmtId="0" fontId="0" fillId="0" borderId="11" xfId="0" applyFill="1" applyBorder="1" applyAlignment="1">
      <alignment/>
    </xf>
    <xf numFmtId="0" fontId="25" fillId="0" borderId="12" xfId="0" applyFont="1" applyFill="1" applyBorder="1" applyAlignment="1">
      <alignment/>
    </xf>
    <xf numFmtId="0" fontId="25" fillId="0" borderId="11" xfId="0" applyFont="1" applyFill="1" applyBorder="1" applyAlignment="1">
      <alignment/>
    </xf>
    <xf numFmtId="0" fontId="0" fillId="0" borderId="13" xfId="0" applyFill="1" applyBorder="1" applyAlignment="1">
      <alignment horizontal="center"/>
    </xf>
    <xf numFmtId="165" fontId="0" fillId="0" borderId="14"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165" fontId="0" fillId="0" borderId="19" xfId="0" applyNumberFormat="1" applyFill="1" applyBorder="1" applyAlignment="1">
      <alignment horizontal="center" vertical="center"/>
    </xf>
    <xf numFmtId="165" fontId="0" fillId="0" borderId="15" xfId="0" applyNumberFormat="1" applyFont="1" applyFill="1" applyBorder="1" applyAlignment="1">
      <alignment horizontal="center" vertical="center"/>
    </xf>
    <xf numFmtId="165" fontId="0" fillId="0" borderId="18" xfId="0" applyNumberFormat="1" applyFont="1" applyFill="1" applyBorder="1" applyAlignment="1">
      <alignment horizontal="center" vertical="center"/>
    </xf>
    <xf numFmtId="165" fontId="0" fillId="0" borderId="17" xfId="0" applyNumberFormat="1" applyFont="1" applyFill="1" applyBorder="1" applyAlignment="1">
      <alignment horizontal="center" vertical="center"/>
    </xf>
    <xf numFmtId="165" fontId="0" fillId="0" borderId="20" xfId="0" applyNumberFormat="1" applyFont="1" applyFill="1" applyBorder="1" applyAlignment="1">
      <alignment horizontal="center" vertical="center"/>
    </xf>
    <xf numFmtId="165" fontId="0" fillId="0" borderId="15" xfId="0" applyNumberFormat="1" applyFill="1" applyBorder="1" applyAlignment="1">
      <alignment horizontal="center" vertical="center"/>
    </xf>
    <xf numFmtId="165" fontId="0" fillId="0" borderId="18" xfId="0" applyNumberFormat="1" applyFill="1" applyBorder="1" applyAlignment="1">
      <alignment horizontal="center" vertical="center"/>
    </xf>
    <xf numFmtId="165" fontId="0" fillId="0" borderId="17" xfId="0" applyNumberFormat="1" applyFill="1" applyBorder="1" applyAlignment="1">
      <alignment horizontal="center" vertical="center"/>
    </xf>
    <xf numFmtId="165" fontId="0" fillId="0" borderId="20" xfId="0" applyNumberFormat="1" applyFill="1" applyBorder="1" applyAlignment="1">
      <alignment horizontal="center" vertical="center"/>
    </xf>
    <xf numFmtId="165" fontId="0" fillId="0" borderId="21" xfId="0" applyNumberFormat="1" applyFill="1" applyBorder="1" applyAlignment="1">
      <alignment horizontal="center" vertical="center"/>
    </xf>
    <xf numFmtId="165" fontId="0" fillId="0" borderId="22" xfId="0" applyNumberFormat="1" applyFill="1" applyBorder="1" applyAlignment="1">
      <alignment horizontal="center" vertical="center"/>
    </xf>
    <xf numFmtId="165" fontId="0" fillId="0" borderId="23" xfId="0" applyNumberFormat="1" applyFill="1" applyBorder="1" applyAlignment="1">
      <alignment horizontal="center" vertical="center"/>
    </xf>
    <xf numFmtId="165" fontId="0" fillId="0" borderId="24" xfId="0" applyNumberFormat="1" applyFill="1" applyBorder="1" applyAlignment="1">
      <alignment horizontal="center" vertical="center"/>
    </xf>
    <xf numFmtId="165" fontId="0" fillId="0" borderId="25" xfId="0" applyNumberFormat="1" applyFill="1" applyBorder="1" applyAlignment="1">
      <alignment horizontal="center" vertical="center"/>
    </xf>
    <xf numFmtId="165" fontId="0" fillId="0" borderId="26" xfId="0" applyNumberFormat="1" applyFill="1" applyBorder="1" applyAlignment="1">
      <alignment horizontal="center" vertical="center"/>
    </xf>
    <xf numFmtId="165" fontId="0" fillId="0" borderId="27" xfId="0" applyNumberFormat="1" applyFill="1" applyBorder="1" applyAlignment="1">
      <alignment horizontal="center" vertical="center"/>
    </xf>
    <xf numFmtId="165" fontId="0" fillId="0" borderId="28" xfId="0" applyNumberFormat="1" applyFill="1" applyBorder="1" applyAlignment="1">
      <alignment horizontal="center" vertical="center"/>
    </xf>
    <xf numFmtId="165" fontId="0" fillId="0" borderId="29" xfId="0" applyNumberFormat="1" applyFill="1" applyBorder="1" applyAlignment="1">
      <alignment horizontal="center" vertical="center"/>
    </xf>
    <xf numFmtId="165" fontId="0" fillId="0" borderId="30" xfId="0" applyNumberFormat="1" applyFill="1" applyBorder="1" applyAlignment="1">
      <alignment horizontal="center" vertical="center"/>
    </xf>
    <xf numFmtId="165" fontId="0" fillId="0" borderId="13" xfId="0" applyNumberFormat="1" applyFill="1" applyBorder="1" applyAlignment="1">
      <alignment horizontal="center" vertical="center"/>
    </xf>
    <xf numFmtId="165" fontId="0" fillId="0" borderId="31" xfId="0" applyNumberFormat="1" applyFill="1" applyBorder="1" applyAlignment="1">
      <alignment horizontal="center" vertical="center"/>
    </xf>
    <xf numFmtId="165" fontId="0" fillId="0" borderId="32" xfId="0" applyNumberFormat="1" applyFill="1" applyBorder="1" applyAlignment="1">
      <alignment horizontal="center" vertical="center"/>
    </xf>
    <xf numFmtId="165" fontId="0" fillId="0" borderId="33" xfId="0" applyNumberFormat="1" applyFill="1" applyBorder="1" applyAlignment="1">
      <alignment horizontal="center" vertical="center"/>
    </xf>
    <xf numFmtId="165" fontId="0" fillId="0" borderId="31" xfId="0" applyNumberFormat="1" applyFont="1" applyFill="1" applyBorder="1" applyAlignment="1">
      <alignment horizontal="center" vertical="center"/>
    </xf>
    <xf numFmtId="165" fontId="0" fillId="0" borderId="32" xfId="0" applyNumberFormat="1" applyFont="1" applyFill="1" applyBorder="1" applyAlignment="1">
      <alignment horizontal="center" vertical="center"/>
    </xf>
    <xf numFmtId="165" fontId="0" fillId="0" borderId="33" xfId="0" applyNumberFormat="1" applyFont="1" applyFill="1" applyBorder="1" applyAlignment="1">
      <alignment horizontal="center" vertical="center"/>
    </xf>
    <xf numFmtId="165" fontId="0" fillId="0" borderId="0" xfId="0" applyNumberFormat="1" applyFill="1" applyBorder="1" applyAlignment="1">
      <alignment horizontal="center"/>
    </xf>
    <xf numFmtId="165" fontId="0" fillId="0" borderId="0" xfId="0" applyNumberFormat="1" applyFont="1" applyFill="1" applyBorder="1" applyAlignment="1">
      <alignment horizontal="center"/>
    </xf>
    <xf numFmtId="0" fontId="0" fillId="0" borderId="34" xfId="0" applyFill="1" applyBorder="1" applyAlignment="1">
      <alignment horizontal="center"/>
    </xf>
    <xf numFmtId="165" fontId="0" fillId="0" borderId="16" xfId="0" applyNumberFormat="1" applyFill="1" applyBorder="1" applyAlignment="1">
      <alignment horizontal="center" vertical="center"/>
    </xf>
    <xf numFmtId="165" fontId="0" fillId="0" borderId="16" xfId="0" applyNumberFormat="1" applyFont="1" applyFill="1" applyBorder="1" applyAlignment="1">
      <alignment horizontal="center" vertical="center"/>
    </xf>
    <xf numFmtId="165" fontId="0" fillId="0" borderId="15" xfId="0" applyNumberFormat="1" applyFont="1" applyFill="1" applyBorder="1" applyAlignment="1">
      <alignment horizontal="center" vertical="center"/>
    </xf>
    <xf numFmtId="165" fontId="0" fillId="0" borderId="20" xfId="0" applyNumberFormat="1" applyFont="1" applyFill="1" applyBorder="1" applyAlignment="1">
      <alignment horizontal="center" vertical="center"/>
    </xf>
    <xf numFmtId="0" fontId="0" fillId="0" borderId="20" xfId="0" applyFill="1" applyBorder="1" applyAlignment="1">
      <alignment horizontal="center" vertical="center"/>
    </xf>
    <xf numFmtId="165" fontId="0" fillId="0" borderId="24" xfId="0" applyNumberFormat="1" applyFont="1" applyFill="1" applyBorder="1" applyAlignment="1">
      <alignment horizontal="center" vertical="center"/>
    </xf>
    <xf numFmtId="49" fontId="0" fillId="0" borderId="20" xfId="0" applyNumberFormat="1" applyFill="1" applyBorder="1" applyAlignment="1">
      <alignment horizontal="center" vertical="center"/>
    </xf>
    <xf numFmtId="49" fontId="27" fillId="0" borderId="20" xfId="0" applyNumberFormat="1" applyFont="1" applyFill="1" applyBorder="1" applyAlignment="1">
      <alignment horizontal="center" vertical="center"/>
    </xf>
    <xf numFmtId="0" fontId="0" fillId="0" borderId="35" xfId="0" applyFill="1" applyBorder="1" applyAlignment="1">
      <alignment horizontal="center"/>
    </xf>
    <xf numFmtId="165" fontId="0" fillId="0" borderId="36" xfId="0" applyNumberFormat="1" applyFill="1" applyBorder="1" applyAlignment="1">
      <alignment horizontal="center" vertical="center"/>
    </xf>
    <xf numFmtId="165" fontId="0" fillId="0" borderId="37" xfId="0" applyNumberFormat="1" applyFill="1" applyBorder="1" applyAlignment="1">
      <alignment horizontal="center" vertical="center"/>
    </xf>
    <xf numFmtId="165" fontId="0" fillId="0" borderId="38" xfId="0" applyNumberFormat="1" applyFill="1" applyBorder="1" applyAlignment="1">
      <alignment horizontal="center" vertical="center"/>
    </xf>
    <xf numFmtId="165" fontId="0" fillId="0" borderId="12" xfId="0" applyNumberFormat="1" applyFill="1" applyBorder="1" applyAlignment="1">
      <alignment horizontal="center" vertical="center"/>
    </xf>
    <xf numFmtId="165" fontId="0" fillId="0" borderId="39" xfId="0" applyNumberFormat="1" applyFill="1" applyBorder="1" applyAlignment="1">
      <alignment horizontal="center" vertical="center"/>
    </xf>
    <xf numFmtId="165" fontId="0" fillId="0" borderId="16" xfId="0" applyNumberFormat="1" applyFont="1" applyFill="1" applyBorder="1" applyAlignment="1">
      <alignment horizontal="center" vertical="center"/>
    </xf>
    <xf numFmtId="165" fontId="0" fillId="0" borderId="40" xfId="0" applyNumberFormat="1" applyFill="1" applyBorder="1" applyAlignment="1">
      <alignment horizontal="center" vertical="center"/>
    </xf>
    <xf numFmtId="165" fontId="0" fillId="0" borderId="41" xfId="0" applyNumberFormat="1" applyFill="1" applyBorder="1" applyAlignment="1">
      <alignment horizontal="center" vertical="center"/>
    </xf>
    <xf numFmtId="0" fontId="0" fillId="0" borderId="42" xfId="0" applyFill="1" applyBorder="1" applyAlignment="1">
      <alignment horizontal="center"/>
    </xf>
    <xf numFmtId="0" fontId="0" fillId="0" borderId="43" xfId="0" applyFill="1" applyBorder="1" applyAlignment="1">
      <alignment horizontal="center"/>
    </xf>
    <xf numFmtId="165" fontId="0" fillId="0" borderId="44" xfId="0" applyNumberFormat="1" applyFill="1" applyBorder="1" applyAlignment="1">
      <alignment horizontal="center" vertical="center"/>
    </xf>
    <xf numFmtId="165" fontId="0" fillId="0" borderId="45" xfId="0" applyNumberFormat="1" applyFill="1" applyBorder="1" applyAlignment="1">
      <alignment horizontal="center" vertical="center"/>
    </xf>
    <xf numFmtId="165" fontId="0" fillId="0" borderId="46" xfId="0" applyNumberFormat="1" applyFill="1" applyBorder="1" applyAlignment="1">
      <alignment horizontal="center" vertical="center"/>
    </xf>
    <xf numFmtId="165" fontId="0" fillId="0" borderId="47" xfId="0" applyNumberFormat="1" applyFill="1" applyBorder="1" applyAlignment="1">
      <alignment horizontal="center" vertical="center"/>
    </xf>
    <xf numFmtId="165" fontId="0" fillId="0" borderId="48" xfId="0" applyNumberForma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49" fontId="0" fillId="0" borderId="46" xfId="0" applyNumberFormat="1" applyFill="1" applyBorder="1" applyAlignment="1">
      <alignment horizontal="center" vertical="center"/>
    </xf>
    <xf numFmtId="0" fontId="0" fillId="0" borderId="51" xfId="0" applyFill="1" applyBorder="1" applyAlignment="1">
      <alignment horizontal="center"/>
    </xf>
    <xf numFmtId="0" fontId="0" fillId="0" borderId="52" xfId="0" applyFill="1" applyBorder="1" applyAlignment="1">
      <alignment horizontal="center" vertical="center" wrapText="1"/>
    </xf>
    <xf numFmtId="165" fontId="0" fillId="0" borderId="36" xfId="0" applyNumberFormat="1" applyFont="1" applyFill="1" applyBorder="1" applyAlignment="1">
      <alignment horizontal="center" vertical="center"/>
    </xf>
    <xf numFmtId="14" fontId="31" fillId="0" borderId="0" xfId="0" applyNumberFormat="1" applyFont="1" applyFill="1" applyAlignment="1">
      <alignment/>
    </xf>
    <xf numFmtId="165" fontId="0" fillId="0" borderId="21" xfId="0" applyNumberFormat="1" applyFont="1" applyFill="1" applyBorder="1" applyAlignment="1">
      <alignment horizontal="center" vertical="center" wrapText="1"/>
    </xf>
    <xf numFmtId="165" fontId="0" fillId="0" borderId="40" xfId="0" applyNumberFormat="1" applyFont="1" applyFill="1" applyBorder="1" applyAlignment="1">
      <alignment horizontal="center" vertical="center" wrapText="1"/>
    </xf>
    <xf numFmtId="165" fontId="0" fillId="0" borderId="18" xfId="0" applyNumberFormat="1" applyFont="1" applyFill="1" applyBorder="1" applyAlignment="1">
      <alignment horizontal="center" vertical="center"/>
    </xf>
    <xf numFmtId="165" fontId="0" fillId="0" borderId="17"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wrapText="1"/>
    </xf>
    <xf numFmtId="165" fontId="0" fillId="0" borderId="25" xfId="0" applyNumberFormat="1" applyFont="1" applyFill="1" applyBorder="1" applyAlignment="1">
      <alignment horizontal="center" vertical="center"/>
    </xf>
    <xf numFmtId="165" fontId="0" fillId="0" borderId="26" xfId="0" applyNumberFormat="1" applyFont="1" applyFill="1" applyBorder="1" applyAlignment="1">
      <alignment horizontal="center" vertical="center"/>
    </xf>
    <xf numFmtId="165" fontId="0" fillId="0" borderId="27" xfId="0" applyNumberFormat="1" applyFont="1" applyFill="1" applyBorder="1" applyAlignment="1">
      <alignment horizontal="center" vertical="center"/>
    </xf>
    <xf numFmtId="165" fontId="0" fillId="0" borderId="14" xfId="0" applyNumberFormat="1" applyFill="1" applyBorder="1" applyAlignment="1">
      <alignment horizontal="center" vertical="center" wrapText="1"/>
    </xf>
    <xf numFmtId="165" fontId="0" fillId="0" borderId="49" xfId="0" applyNumberFormat="1" applyFont="1" applyFill="1" applyBorder="1" applyAlignment="1">
      <alignment horizontal="center" vertical="center"/>
    </xf>
    <xf numFmtId="165" fontId="0" fillId="0" borderId="21" xfId="0" applyNumberFormat="1" applyFont="1" applyFill="1" applyBorder="1" applyAlignment="1">
      <alignment horizontal="center" vertical="center"/>
    </xf>
    <xf numFmtId="0" fontId="0" fillId="0" borderId="43" xfId="0" applyFont="1" applyFill="1" applyBorder="1" applyAlignment="1">
      <alignment horizontal="center"/>
    </xf>
    <xf numFmtId="0" fontId="0" fillId="0" borderId="53" xfId="0" applyFill="1" applyBorder="1" applyAlignment="1">
      <alignment horizontal="center"/>
    </xf>
    <xf numFmtId="49" fontId="0" fillId="0" borderId="53" xfId="0" applyNumberFormat="1" applyFill="1" applyBorder="1" applyAlignment="1">
      <alignment horizontal="center" vertical="center"/>
    </xf>
    <xf numFmtId="49" fontId="27" fillId="0" borderId="53"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wrapText="1"/>
    </xf>
    <xf numFmtId="0" fontId="0" fillId="0" borderId="53" xfId="0" applyFill="1" applyBorder="1" applyAlignment="1">
      <alignment horizontal="center" vertical="center" wrapText="1"/>
    </xf>
    <xf numFmtId="49" fontId="0" fillId="0" borderId="55" xfId="0" applyNumberFormat="1" applyFont="1" applyFill="1" applyBorder="1" applyAlignment="1">
      <alignment horizontal="center" vertical="center"/>
    </xf>
    <xf numFmtId="49" fontId="0" fillId="0" borderId="53" xfId="0" applyNumberFormat="1" applyFill="1" applyBorder="1" applyAlignment="1">
      <alignment horizontal="center" vertical="center" wrapText="1"/>
    </xf>
    <xf numFmtId="0" fontId="25" fillId="0" borderId="56" xfId="0" applyFont="1" applyFill="1" applyBorder="1" applyAlignment="1">
      <alignment horizontal="left"/>
    </xf>
    <xf numFmtId="0" fontId="0" fillId="0" borderId="57" xfId="0" applyFill="1" applyBorder="1" applyAlignment="1">
      <alignment horizontal="left"/>
    </xf>
    <xf numFmtId="0" fontId="27" fillId="0" borderId="58" xfId="0" applyFont="1" applyFill="1" applyBorder="1" applyAlignment="1">
      <alignment vertical="center" wrapText="1"/>
    </xf>
    <xf numFmtId="0" fontId="7" fillId="0" borderId="58" xfId="0" applyFont="1" applyFill="1" applyBorder="1" applyAlignment="1">
      <alignment wrapText="1"/>
    </xf>
    <xf numFmtId="0" fontId="7" fillId="0" borderId="57" xfId="0" applyFont="1" applyFill="1" applyBorder="1" applyAlignment="1">
      <alignment wrapText="1"/>
    </xf>
    <xf numFmtId="0" fontId="26" fillId="0" borderId="58" xfId="0" applyFont="1" applyFill="1" applyBorder="1" applyAlignment="1">
      <alignment wrapText="1"/>
    </xf>
    <xf numFmtId="0" fontId="0" fillId="0" borderId="57" xfId="0" applyFill="1" applyBorder="1" applyAlignment="1">
      <alignment horizontal="left" wrapText="1"/>
    </xf>
    <xf numFmtId="0" fontId="27" fillId="0" borderId="59" xfId="0" applyFont="1" applyFill="1" applyBorder="1" applyAlignment="1">
      <alignment horizontal="left" vertical="center" wrapText="1"/>
    </xf>
    <xf numFmtId="0" fontId="27" fillId="0" borderId="58" xfId="53" applyFont="1" applyFill="1" applyBorder="1" applyAlignment="1">
      <alignment horizontal="left" vertical="center" wrapText="1"/>
      <protection/>
    </xf>
    <xf numFmtId="0" fontId="26" fillId="0" borderId="58" xfId="0" applyFont="1" applyFill="1" applyBorder="1" applyAlignment="1">
      <alignment horizontal="left" wrapText="1"/>
    </xf>
    <xf numFmtId="0" fontId="7" fillId="0" borderId="57" xfId="0" applyFont="1" applyFill="1" applyBorder="1" applyAlignment="1">
      <alignment horizontal="left" wrapText="1"/>
    </xf>
    <xf numFmtId="0" fontId="25" fillId="0" borderId="58" xfId="0" applyFont="1" applyFill="1" applyBorder="1" applyAlignment="1">
      <alignment horizontal="left" wrapText="1"/>
    </xf>
    <xf numFmtId="49" fontId="0" fillId="0" borderId="13" xfId="0" applyNumberFormat="1" applyFont="1" applyFill="1" applyBorder="1" applyAlignment="1">
      <alignment/>
    </xf>
    <xf numFmtId="49" fontId="0" fillId="0" borderId="20" xfId="0" applyNumberFormat="1" applyFill="1" applyBorder="1" applyAlignment="1">
      <alignment/>
    </xf>
    <xf numFmtId="49" fontId="0" fillId="0" borderId="20" xfId="0" applyNumberFormat="1" applyFill="1" applyBorder="1" applyAlignment="1">
      <alignment vertical="center"/>
    </xf>
    <xf numFmtId="49" fontId="29" fillId="0" borderId="41" xfId="0" applyNumberFormat="1" applyFont="1" applyFill="1" applyBorder="1" applyAlignment="1">
      <alignment horizontal="center" vertical="center"/>
    </xf>
    <xf numFmtId="49" fontId="0" fillId="0" borderId="46" xfId="0" applyNumberFormat="1" applyFill="1" applyBorder="1" applyAlignment="1">
      <alignment vertical="center"/>
    </xf>
    <xf numFmtId="49" fontId="0" fillId="0" borderId="36" xfId="0" applyNumberFormat="1" applyFill="1" applyBorder="1" applyAlignment="1">
      <alignment vertical="center"/>
    </xf>
    <xf numFmtId="49" fontId="0" fillId="0" borderId="28" xfId="0" applyNumberFormat="1" applyFill="1" applyBorder="1" applyAlignment="1">
      <alignment horizontal="center" vertical="center"/>
    </xf>
    <xf numFmtId="49" fontId="0" fillId="0" borderId="24" xfId="0" applyNumberFormat="1" applyFill="1" applyBorder="1" applyAlignment="1">
      <alignment vertical="center"/>
    </xf>
    <xf numFmtId="165" fontId="0" fillId="0" borderId="20" xfId="0" applyNumberFormat="1" applyFont="1" applyFill="1" applyBorder="1" applyAlignment="1">
      <alignment horizontal="center" vertical="center"/>
    </xf>
    <xf numFmtId="0" fontId="27" fillId="0" borderId="58" xfId="0" applyFont="1" applyFill="1" applyBorder="1" applyAlignment="1">
      <alignment wrapText="1"/>
    </xf>
    <xf numFmtId="0" fontId="0" fillId="0" borderId="0" xfId="0" applyFont="1" applyFill="1" applyAlignment="1">
      <alignment/>
    </xf>
    <xf numFmtId="49" fontId="29" fillId="0" borderId="24" xfId="0" applyNumberFormat="1" applyFont="1" applyFill="1" applyBorder="1" applyAlignment="1">
      <alignment horizontal="center" vertical="center"/>
    </xf>
    <xf numFmtId="0" fontId="32" fillId="0" borderId="59" xfId="0" applyFont="1" applyFill="1" applyBorder="1" applyAlignment="1">
      <alignment vertical="center" wrapText="1"/>
    </xf>
    <xf numFmtId="49" fontId="29" fillId="0" borderId="53"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57" xfId="0" applyFont="1" applyFill="1" applyBorder="1" applyAlignment="1">
      <alignment horizontal="left" vertical="center" wrapText="1"/>
    </xf>
    <xf numFmtId="0" fontId="32" fillId="0" borderId="57" xfId="0" applyFont="1" applyFill="1" applyBorder="1" applyAlignment="1">
      <alignment vertical="center" wrapText="1"/>
    </xf>
    <xf numFmtId="0" fontId="29" fillId="0" borderId="58" xfId="0" applyFont="1" applyFill="1" applyBorder="1" applyAlignment="1">
      <alignment vertical="center" wrapText="1"/>
    </xf>
    <xf numFmtId="49" fontId="29" fillId="0" borderId="20" xfId="0" applyNumberFormat="1" applyFont="1" applyFill="1" applyBorder="1" applyAlignment="1">
      <alignment/>
    </xf>
    <xf numFmtId="0" fontId="29" fillId="0" borderId="57" xfId="0" applyFont="1" applyFill="1" applyBorder="1" applyAlignment="1">
      <alignment horizontal="left" vertical="center"/>
    </xf>
    <xf numFmtId="49" fontId="29" fillId="0" borderId="53" xfId="0" applyNumberFormat="1" applyFont="1" applyFill="1" applyBorder="1" applyAlignment="1">
      <alignment horizontal="center" vertical="center" wrapText="1"/>
    </xf>
    <xf numFmtId="49" fontId="29" fillId="0" borderId="20" xfId="0" applyNumberFormat="1" applyFont="1" applyFill="1" applyBorder="1" applyAlignment="1">
      <alignment vertical="center"/>
    </xf>
    <xf numFmtId="0" fontId="29" fillId="0" borderId="58" xfId="53" applyFont="1" applyFill="1" applyBorder="1" applyAlignment="1">
      <alignment horizontal="left" vertical="center" wrapText="1"/>
      <protection/>
    </xf>
    <xf numFmtId="0" fontId="32" fillId="0" borderId="58" xfId="0" applyFont="1" applyFill="1" applyBorder="1" applyAlignment="1">
      <alignment vertical="center" wrapText="1"/>
    </xf>
    <xf numFmtId="0" fontId="29" fillId="0" borderId="58" xfId="0" applyFont="1" applyFill="1" applyBorder="1" applyAlignment="1">
      <alignment horizontal="left" vertical="center" wrapText="1"/>
    </xf>
    <xf numFmtId="0" fontId="29" fillId="0" borderId="20" xfId="0" applyFont="1" applyFill="1" applyBorder="1" applyAlignment="1">
      <alignment horizontal="center" vertical="center"/>
    </xf>
    <xf numFmtId="0" fontId="29" fillId="0" borderId="60" xfId="0" applyFont="1" applyFill="1" applyBorder="1" applyAlignment="1">
      <alignment horizontal="left" vertical="center" wrapText="1"/>
    </xf>
    <xf numFmtId="49" fontId="0" fillId="0" borderId="52"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28" xfId="0" applyNumberFormat="1" applyFill="1" applyBorder="1" applyAlignment="1">
      <alignment vertical="center"/>
    </xf>
    <xf numFmtId="0" fontId="27" fillId="0" borderId="61" xfId="0" applyFont="1" applyFill="1" applyBorder="1" applyAlignment="1">
      <alignment horizontal="left" vertical="center" wrapText="1"/>
    </xf>
    <xf numFmtId="0" fontId="32" fillId="0" borderId="41" xfId="0" applyFont="1" applyFill="1" applyBorder="1" applyAlignment="1">
      <alignment vertical="center" wrapText="1"/>
    </xf>
    <xf numFmtId="0" fontId="32" fillId="0" borderId="24" xfId="0" applyFont="1" applyFill="1" applyBorder="1" applyAlignment="1">
      <alignment vertical="center" wrapText="1"/>
    </xf>
    <xf numFmtId="0" fontId="32" fillId="0" borderId="24" xfId="0" applyFont="1" applyFill="1" applyBorder="1" applyAlignment="1">
      <alignment wrapText="1"/>
    </xf>
    <xf numFmtId="0" fontId="29" fillId="0" borderId="24" xfId="0" applyFont="1" applyFill="1" applyBorder="1" applyAlignment="1">
      <alignment horizontal="left" vertical="center" wrapText="1"/>
    </xf>
    <xf numFmtId="0" fontId="7" fillId="0" borderId="20" xfId="0" applyFont="1" applyFill="1" applyBorder="1" applyAlignment="1">
      <alignment vertical="center" wrapText="1"/>
    </xf>
    <xf numFmtId="0" fontId="7" fillId="0" borderId="28" xfId="0" applyFont="1" applyFill="1" applyBorder="1" applyAlignment="1">
      <alignment wrapText="1"/>
    </xf>
    <xf numFmtId="0" fontId="26" fillId="0" borderId="46" xfId="0" applyFont="1" applyFill="1" applyBorder="1" applyAlignment="1">
      <alignment horizontal="left" wrapText="1"/>
    </xf>
    <xf numFmtId="0" fontId="28" fillId="0" borderId="36" xfId="0" applyFont="1" applyFill="1" applyBorder="1" applyAlignment="1">
      <alignment horizontal="left" wrapText="1"/>
    </xf>
    <xf numFmtId="0" fontId="29" fillId="0" borderId="36" xfId="0" applyFont="1" applyFill="1" applyBorder="1" applyAlignment="1">
      <alignment horizontal="left" vertical="center"/>
    </xf>
    <xf numFmtId="0" fontId="27" fillId="0" borderId="20" xfId="0" applyFont="1" applyFill="1" applyBorder="1" applyAlignment="1">
      <alignment vertical="center" wrapText="1"/>
    </xf>
    <xf numFmtId="0" fontId="27" fillId="0" borderId="24"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0" fillId="0" borderId="46" xfId="0" applyNumberFormat="1" applyFill="1" applyBorder="1" applyAlignment="1">
      <alignment horizontal="left" vertical="center" wrapText="1"/>
    </xf>
    <xf numFmtId="0" fontId="27" fillId="0" borderId="20" xfId="0" applyNumberFormat="1" applyFont="1" applyFill="1" applyBorder="1" applyAlignment="1">
      <alignment horizontal="left" vertical="center" wrapText="1"/>
    </xf>
    <xf numFmtId="0" fontId="27" fillId="0" borderId="13" xfId="0" applyFont="1" applyFill="1" applyBorder="1" applyAlignment="1">
      <alignment horizontal="left" vertical="center" wrapText="1"/>
    </xf>
    <xf numFmtId="0" fontId="0" fillId="0" borderId="28" xfId="0" applyNumberFormat="1" applyFont="1" applyFill="1" applyBorder="1" applyAlignment="1">
      <alignment wrapText="1"/>
    </xf>
    <xf numFmtId="0" fontId="27" fillId="0" borderId="46" xfId="0" applyFont="1" applyFill="1" applyBorder="1" applyAlignment="1">
      <alignment horizontal="left" vertical="center" wrapText="1"/>
    </xf>
    <xf numFmtId="0" fontId="27" fillId="0" borderId="20" xfId="0" applyFont="1" applyFill="1" applyBorder="1" applyAlignment="1">
      <alignment wrapText="1"/>
    </xf>
    <xf numFmtId="0" fontId="27" fillId="0" borderId="28" xfId="0" applyFont="1" applyFill="1" applyBorder="1" applyAlignment="1">
      <alignment wrapText="1"/>
    </xf>
    <xf numFmtId="165" fontId="0" fillId="0" borderId="0" xfId="0" applyNumberFormat="1" applyFill="1" applyBorder="1" applyAlignment="1">
      <alignment horizontal="center" vertical="center"/>
    </xf>
    <xf numFmtId="165" fontId="0" fillId="0" borderId="28" xfId="0" applyNumberFormat="1" applyFont="1" applyFill="1" applyBorder="1" applyAlignment="1">
      <alignment horizontal="center" vertical="center"/>
    </xf>
    <xf numFmtId="0" fontId="0" fillId="0" borderId="57" xfId="0" applyFill="1" applyBorder="1" applyAlignment="1">
      <alignment horizontal="lef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0" fillId="0" borderId="20" xfId="0" applyFill="1" applyBorder="1" applyAlignment="1">
      <alignment horizontal="left" vertical="center" wrapText="1"/>
    </xf>
    <xf numFmtId="49" fontId="0" fillId="0" borderId="24" xfId="0" applyNumberFormat="1" applyFill="1" applyBorder="1" applyAlignment="1">
      <alignment horizontal="center" vertical="center"/>
    </xf>
    <xf numFmtId="165" fontId="0" fillId="0" borderId="28"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wrapText="1"/>
    </xf>
    <xf numFmtId="0" fontId="0" fillId="0" borderId="39" xfId="0" applyNumberFormat="1" applyFill="1" applyBorder="1" applyAlignment="1">
      <alignment horizontal="left" vertical="center" wrapText="1"/>
    </xf>
    <xf numFmtId="49" fontId="0" fillId="0" borderId="36" xfId="0" applyNumberFormat="1" applyFill="1" applyBorder="1" applyAlignment="1">
      <alignment horizontal="center" vertical="center"/>
    </xf>
    <xf numFmtId="0" fontId="0" fillId="0" borderId="20" xfId="0" applyFill="1" applyBorder="1" applyAlignment="1">
      <alignment vertical="center"/>
    </xf>
    <xf numFmtId="0" fontId="7" fillId="0" borderId="20" xfId="0" applyNumberFormat="1" applyFont="1" applyFill="1" applyBorder="1" applyAlignment="1">
      <alignment vertical="center" wrapText="1"/>
    </xf>
    <xf numFmtId="0" fontId="0" fillId="0" borderId="58" xfId="0" applyFill="1" applyBorder="1" applyAlignment="1">
      <alignment vertical="center"/>
    </xf>
    <xf numFmtId="0" fontId="0" fillId="0" borderId="58" xfId="0" applyFill="1" applyBorder="1" applyAlignment="1">
      <alignment wrapText="1"/>
    </xf>
    <xf numFmtId="49" fontId="0" fillId="0" borderId="51" xfId="0" applyNumberFormat="1" applyFill="1" applyBorder="1" applyAlignment="1">
      <alignment horizontal="center" vertical="center"/>
    </xf>
    <xf numFmtId="0" fontId="0" fillId="0" borderId="56" xfId="0" applyFill="1" applyBorder="1" applyAlignment="1">
      <alignment wrapText="1"/>
    </xf>
    <xf numFmtId="0" fontId="0" fillId="0" borderId="58" xfId="0" applyFill="1" applyBorder="1" applyAlignment="1">
      <alignment vertical="center" wrapText="1"/>
    </xf>
    <xf numFmtId="49" fontId="0" fillId="0" borderId="53" xfId="0" applyNumberFormat="1" applyFont="1" applyFill="1" applyBorder="1" applyAlignment="1">
      <alignment horizontal="center" vertical="center" wrapText="1"/>
    </xf>
    <xf numFmtId="0" fontId="0" fillId="0" borderId="58" xfId="0" applyFont="1" applyFill="1" applyBorder="1" applyAlignment="1">
      <alignment vertical="center" wrapText="1"/>
    </xf>
    <xf numFmtId="0" fontId="27" fillId="0" borderId="58" xfId="53" applyFont="1" applyFill="1" applyBorder="1" applyAlignment="1">
      <alignment horizontal="left" wrapText="1"/>
      <protection/>
    </xf>
    <xf numFmtId="0" fontId="7" fillId="0" borderId="59" xfId="0" applyFont="1" applyFill="1" applyBorder="1" applyAlignment="1">
      <alignment wrapText="1"/>
    </xf>
    <xf numFmtId="0" fontId="0" fillId="0" borderId="58" xfId="0" applyFill="1" applyBorder="1" applyAlignment="1">
      <alignment/>
    </xf>
    <xf numFmtId="49" fontId="0" fillId="0" borderId="62" xfId="0" applyNumberFormat="1" applyFont="1" applyFill="1" applyBorder="1" applyAlignment="1">
      <alignment horizontal="center" vertical="center"/>
    </xf>
    <xf numFmtId="49" fontId="0" fillId="0" borderId="19" xfId="0" applyNumberFormat="1" applyFill="1" applyBorder="1" applyAlignment="1">
      <alignment horizontal="center" vertical="center"/>
    </xf>
    <xf numFmtId="0" fontId="0" fillId="0" borderId="63" xfId="0" applyFill="1" applyBorder="1" applyAlignment="1">
      <alignment horizontal="left" wrapText="1"/>
    </xf>
    <xf numFmtId="165" fontId="0" fillId="0" borderId="25" xfId="0" applyNumberFormat="1" applyFont="1" applyFill="1" applyBorder="1" applyAlignment="1">
      <alignment horizontal="center" vertical="center"/>
    </xf>
    <xf numFmtId="165" fontId="0" fillId="0" borderId="26" xfId="0" applyNumberFormat="1" applyFont="1" applyFill="1" applyBorder="1" applyAlignment="1">
      <alignment horizontal="center" vertical="center"/>
    </xf>
    <xf numFmtId="49" fontId="29" fillId="0" borderId="51" xfId="0" applyNumberFormat="1" applyFont="1" applyFill="1" applyBorder="1" applyAlignment="1">
      <alignment horizontal="center" vertical="center"/>
    </xf>
    <xf numFmtId="49" fontId="29" fillId="0" borderId="46" xfId="0" applyNumberFormat="1" applyFont="1" applyFill="1" applyBorder="1" applyAlignment="1">
      <alignment horizontal="center" vertical="center"/>
    </xf>
    <xf numFmtId="0" fontId="29" fillId="0" borderId="46" xfId="0" applyFont="1" applyFill="1" applyBorder="1" applyAlignment="1">
      <alignment horizontal="left" vertical="center" wrapText="1"/>
    </xf>
    <xf numFmtId="165" fontId="0" fillId="0" borderId="46" xfId="0" applyNumberFormat="1" applyFont="1" applyFill="1" applyBorder="1" applyAlignment="1">
      <alignment horizontal="center" vertical="center"/>
    </xf>
    <xf numFmtId="49" fontId="29" fillId="0" borderId="64" xfId="0" applyNumberFormat="1" applyFont="1" applyFill="1" applyBorder="1" applyAlignment="1">
      <alignment horizontal="center" vertical="center" wrapText="1"/>
    </xf>
    <xf numFmtId="0" fontId="29" fillId="0" borderId="64" xfId="0"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0" fontId="0" fillId="0" borderId="52" xfId="0" applyFill="1" applyBorder="1" applyAlignment="1">
      <alignment horizontal="left" vertical="center" wrapText="1"/>
    </xf>
    <xf numFmtId="165" fontId="0" fillId="0" borderId="29" xfId="0" applyNumberFormat="1" applyFont="1" applyFill="1" applyBorder="1" applyAlignment="1">
      <alignment horizontal="center" vertical="center"/>
    </xf>
    <xf numFmtId="49" fontId="0" fillId="0" borderId="41" xfId="0" applyNumberFormat="1" applyFill="1" applyBorder="1" applyAlignment="1">
      <alignment horizontal="center" vertical="center"/>
    </xf>
    <xf numFmtId="165" fontId="0" fillId="0" borderId="47" xfId="0" applyNumberFormat="1" applyFont="1" applyFill="1" applyBorder="1" applyAlignment="1">
      <alignment horizontal="center" vertical="center"/>
    </xf>
    <xf numFmtId="0" fontId="0" fillId="0" borderId="57" xfId="0" applyFill="1" applyBorder="1" applyAlignment="1">
      <alignment wrapText="1"/>
    </xf>
    <xf numFmtId="0" fontId="0" fillId="0" borderId="56" xfId="0" applyFill="1" applyBorder="1" applyAlignment="1">
      <alignment vertical="center"/>
    </xf>
    <xf numFmtId="0" fontId="0" fillId="0" borderId="35" xfId="0" applyFill="1" applyBorder="1" applyAlignment="1">
      <alignment/>
    </xf>
    <xf numFmtId="0" fontId="0" fillId="0" borderId="60" xfId="0" applyFill="1" applyBorder="1" applyAlignment="1">
      <alignment/>
    </xf>
    <xf numFmtId="0" fontId="0" fillId="0" borderId="63" xfId="0" applyFill="1" applyBorder="1" applyAlignment="1">
      <alignment/>
    </xf>
    <xf numFmtId="165" fontId="0" fillId="0" borderId="65" xfId="0" applyNumberFormat="1" applyFill="1" applyBorder="1" applyAlignment="1">
      <alignment horizontal="center" vertical="center"/>
    </xf>
    <xf numFmtId="165" fontId="0" fillId="0" borderId="66" xfId="0" applyNumberFormat="1" applyFill="1" applyBorder="1" applyAlignment="1">
      <alignment horizontal="center" vertical="center"/>
    </xf>
    <xf numFmtId="165" fontId="0" fillId="0" borderId="67" xfId="0" applyNumberForma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60" xfId="0" applyFont="1" applyFill="1" applyBorder="1" applyAlignment="1">
      <alignment vertical="center" wrapText="1"/>
    </xf>
    <xf numFmtId="165" fontId="0" fillId="0" borderId="14" xfId="0" applyNumberFormat="1" applyFont="1" applyFill="1" applyBorder="1" applyAlignment="1">
      <alignment horizontal="center" vertical="center"/>
    </xf>
    <xf numFmtId="165" fontId="0" fillId="0" borderId="30" xfId="0" applyNumberFormat="1" applyFont="1" applyFill="1" applyBorder="1" applyAlignment="1">
      <alignment horizontal="center" vertical="center"/>
    </xf>
    <xf numFmtId="0" fontId="0" fillId="0" borderId="39" xfId="0" applyFill="1" applyBorder="1" applyAlignment="1">
      <alignment/>
    </xf>
    <xf numFmtId="49" fontId="0" fillId="0" borderId="11" xfId="0" applyNumberFormat="1" applyFill="1" applyBorder="1" applyAlignment="1">
      <alignment horizontal="center"/>
    </xf>
    <xf numFmtId="0" fontId="0" fillId="0" borderId="39" xfId="0" applyFill="1" applyBorder="1" applyAlignment="1">
      <alignment vertical="center"/>
    </xf>
    <xf numFmtId="165" fontId="0" fillId="0" borderId="68" xfId="0" applyNumberFormat="1" applyFill="1" applyBorder="1" applyAlignment="1">
      <alignment horizontal="center" vertical="center"/>
    </xf>
    <xf numFmtId="165" fontId="0" fillId="0" borderId="11" xfId="0" applyNumberFormat="1" applyFill="1" applyBorder="1" applyAlignment="1">
      <alignment horizontal="center" vertical="center"/>
    </xf>
    <xf numFmtId="165" fontId="0" fillId="0" borderId="39" xfId="0" applyNumberFormat="1" applyFont="1" applyFill="1" applyBorder="1" applyAlignment="1">
      <alignment horizontal="center" vertical="center"/>
    </xf>
    <xf numFmtId="0" fontId="0" fillId="0" borderId="41" xfId="0" applyFill="1" applyBorder="1" applyAlignment="1">
      <alignment vertical="center" wrapText="1"/>
    </xf>
    <xf numFmtId="49" fontId="0" fillId="0" borderId="24" xfId="0" applyNumberFormat="1" applyFont="1" applyFill="1" applyBorder="1" applyAlignment="1">
      <alignment horizontal="center" vertical="center"/>
    </xf>
    <xf numFmtId="0" fontId="0" fillId="0" borderId="57" xfId="0" applyFont="1" applyFill="1" applyBorder="1" applyAlignment="1">
      <alignment wrapText="1"/>
    </xf>
    <xf numFmtId="0" fontId="0" fillId="0" borderId="58" xfId="0" applyFont="1" applyFill="1" applyBorder="1" applyAlignment="1">
      <alignment horizontal="justify" vertical="center" wrapText="1"/>
    </xf>
    <xf numFmtId="49" fontId="0" fillId="0" borderId="41" xfId="0" applyNumberFormat="1" applyFill="1" applyBorder="1" applyAlignment="1">
      <alignment vertical="center"/>
    </xf>
    <xf numFmtId="0" fontId="0" fillId="0" borderId="57" xfId="0" applyFont="1" applyFill="1" applyBorder="1" applyAlignment="1">
      <alignment vertical="center" wrapText="1"/>
    </xf>
    <xf numFmtId="0" fontId="7" fillId="0" borderId="61" xfId="0" applyFont="1" applyFill="1" applyBorder="1" applyAlignment="1">
      <alignment vertical="center" wrapText="1"/>
    </xf>
    <xf numFmtId="0" fontId="0" fillId="0" borderId="56" xfId="0" applyFill="1" applyBorder="1" applyAlignment="1">
      <alignment vertical="center" wrapText="1"/>
    </xf>
    <xf numFmtId="165" fontId="0" fillId="0" borderId="44" xfId="0" applyNumberFormat="1" applyFont="1" applyFill="1" applyBorder="1" applyAlignment="1">
      <alignment horizontal="center" vertical="center"/>
    </xf>
    <xf numFmtId="165" fontId="0" fillId="0" borderId="48"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0" fontId="0" fillId="0" borderId="58" xfId="0" applyFill="1" applyBorder="1" applyAlignment="1">
      <alignment horizontal="left" vertical="center" wrapText="1"/>
    </xf>
    <xf numFmtId="0" fontId="7" fillId="0" borderId="57" xfId="0" applyFont="1" applyFill="1" applyBorder="1" applyAlignment="1">
      <alignment vertical="center" wrapText="1"/>
    </xf>
    <xf numFmtId="0" fontId="0" fillId="0" borderId="61" xfId="0" applyFill="1" applyBorder="1" applyAlignment="1">
      <alignment horizontal="left"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165" fontId="0" fillId="0" borderId="15" xfId="0" applyNumberFormat="1" applyFill="1" applyBorder="1" applyAlignment="1">
      <alignment horizontal="center" vertical="center" wrapText="1"/>
    </xf>
    <xf numFmtId="165" fontId="0" fillId="0" borderId="18" xfId="0" applyNumberFormat="1" applyFill="1" applyBorder="1" applyAlignment="1">
      <alignment horizontal="center" vertical="center" wrapText="1"/>
    </xf>
    <xf numFmtId="0" fontId="7" fillId="0" borderId="20" xfId="0" applyFont="1" applyFill="1" applyBorder="1" applyAlignment="1">
      <alignment wrapText="1"/>
    </xf>
    <xf numFmtId="0" fontId="7" fillId="0" borderId="24" xfId="0" applyFont="1" applyFill="1" applyBorder="1" applyAlignment="1">
      <alignment wrapText="1"/>
    </xf>
    <xf numFmtId="0" fontId="7" fillId="0" borderId="24" xfId="0" applyFont="1" applyFill="1" applyBorder="1" applyAlignment="1">
      <alignment vertical="center" wrapText="1"/>
    </xf>
    <xf numFmtId="49" fontId="0" fillId="0" borderId="20" xfId="0" applyNumberFormat="1" applyFont="1" applyFill="1" applyBorder="1" applyAlignment="1">
      <alignment horizontal="center" vertical="center"/>
    </xf>
    <xf numFmtId="0" fontId="0" fillId="0" borderId="36" xfId="0" applyFill="1" applyBorder="1" applyAlignment="1">
      <alignment horizontal="left" vertical="center" wrapText="1"/>
    </xf>
    <xf numFmtId="0" fontId="0" fillId="0" borderId="28" xfId="0" applyFill="1" applyBorder="1" applyAlignment="1">
      <alignment vertical="center" wrapText="1"/>
    </xf>
    <xf numFmtId="0" fontId="0" fillId="0" borderId="69" xfId="0"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54"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0" fontId="0" fillId="0" borderId="53" xfId="0"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0" fontId="0" fillId="0" borderId="54" xfId="0"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41" xfId="0" applyBorder="1" applyAlignment="1">
      <alignment vertical="center" wrapText="1"/>
    </xf>
    <xf numFmtId="0" fontId="0" fillId="0" borderId="19" xfId="0" applyBorder="1" applyAlignment="1">
      <alignment vertical="center" wrapText="1"/>
    </xf>
    <xf numFmtId="0" fontId="0" fillId="0" borderId="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10" xfId="0" applyFill="1" applyBorder="1" applyAlignment="1">
      <alignment horizontal="center" wrapText="1"/>
    </xf>
    <xf numFmtId="0" fontId="0" fillId="0" borderId="11" xfId="0" applyBorder="1" applyAlignment="1">
      <alignment horizontal="center" wrapText="1"/>
    </xf>
    <xf numFmtId="0" fontId="0" fillId="0" borderId="68" xfId="0" applyBorder="1" applyAlignment="1">
      <alignment horizontal="center" wrapText="1"/>
    </xf>
    <xf numFmtId="0" fontId="0" fillId="0" borderId="60" xfId="0" applyFill="1" applyBorder="1" applyAlignment="1">
      <alignment wrapText="1"/>
    </xf>
    <xf numFmtId="0" fontId="0" fillId="0" borderId="63" xfId="0" applyFill="1" applyBorder="1" applyAlignment="1">
      <alignment wrapText="1"/>
    </xf>
    <xf numFmtId="0" fontId="0" fillId="0" borderId="19" xfId="0" applyFill="1" applyBorder="1" applyAlignment="1">
      <alignment wrapText="1"/>
    </xf>
    <xf numFmtId="0" fontId="0" fillId="0" borderId="69" xfId="0" applyFill="1" applyBorder="1" applyAlignment="1">
      <alignment wrapText="1"/>
    </xf>
    <xf numFmtId="0" fontId="0" fillId="0" borderId="35" xfId="0" applyFill="1" applyBorder="1" applyAlignment="1">
      <alignment vertical="center" wrapText="1"/>
    </xf>
    <xf numFmtId="0" fontId="0" fillId="0" borderId="60" xfId="0" applyFill="1" applyBorder="1" applyAlignment="1">
      <alignment vertical="center" wrapText="1"/>
    </xf>
    <xf numFmtId="0" fontId="0" fillId="0" borderId="63" xfId="0" applyFill="1" applyBorder="1" applyAlignment="1">
      <alignment vertical="center" wrapText="1"/>
    </xf>
    <xf numFmtId="0" fontId="0" fillId="0" borderId="13" xfId="0" applyFill="1" applyBorder="1" applyAlignment="1">
      <alignment vertical="center" wrapText="1"/>
    </xf>
    <xf numFmtId="0" fontId="0" fillId="0" borderId="41" xfId="0" applyFill="1" applyBorder="1" applyAlignment="1">
      <alignment vertical="center" wrapText="1"/>
    </xf>
    <xf numFmtId="0" fontId="25" fillId="0" borderId="11" xfId="0" applyFont="1" applyFill="1" applyBorder="1" applyAlignment="1">
      <alignment horizontal="center" wrapText="1"/>
    </xf>
    <xf numFmtId="0" fontId="25" fillId="0" borderId="11" xfId="0" applyFont="1" applyBorder="1" applyAlignment="1">
      <alignment wrapText="1"/>
    </xf>
    <xf numFmtId="0" fontId="25" fillId="0" borderId="68" xfId="0" applyFont="1" applyBorder="1" applyAlignment="1">
      <alignment wrapText="1"/>
    </xf>
    <xf numFmtId="0" fontId="0" fillId="0" borderId="0" xfId="0" applyFont="1" applyFill="1" applyBorder="1" applyAlignment="1">
      <alignment horizontal="center" vertical="center" wrapText="1"/>
    </xf>
    <xf numFmtId="0" fontId="0" fillId="0" borderId="69" xfId="0" applyFont="1" applyFill="1" applyBorder="1" applyAlignment="1">
      <alignment wrapText="1"/>
    </xf>
    <xf numFmtId="0" fontId="0" fillId="0" borderId="19" xfId="0" applyFill="1" applyBorder="1" applyAlignment="1">
      <alignment horizontal="center" vertical="center" wrapText="1"/>
    </xf>
    <xf numFmtId="0" fontId="0" fillId="0" borderId="10" xfId="0" applyFill="1" applyBorder="1" applyAlignment="1">
      <alignment wrapText="1"/>
    </xf>
    <xf numFmtId="0" fontId="0" fillId="0" borderId="68" xfId="0" applyBorder="1" applyAlignment="1">
      <alignment wrapText="1"/>
    </xf>
    <xf numFmtId="49" fontId="0" fillId="0" borderId="24"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6" xfId="0"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0" fontId="27" fillId="0" borderId="19" xfId="0" applyFont="1" applyFill="1" applyBorder="1" applyAlignment="1">
      <alignment wrapText="1"/>
    </xf>
    <xf numFmtId="49" fontId="0" fillId="0" borderId="10" xfId="0" applyNumberFormat="1" applyFont="1" applyFill="1" applyBorder="1" applyAlignment="1">
      <alignment horizontal="center" vertical="center"/>
    </xf>
    <xf numFmtId="49" fontId="0" fillId="0" borderId="39" xfId="0" applyNumberFormat="1" applyFill="1" applyBorder="1" applyAlignment="1">
      <alignment horizontal="center" vertical="center"/>
    </xf>
    <xf numFmtId="49" fontId="0" fillId="0" borderId="43" xfId="0" applyNumberFormat="1" applyFont="1" applyFill="1" applyBorder="1" applyAlignment="1">
      <alignment horizontal="center" vertical="center" wrapText="1"/>
    </xf>
    <xf numFmtId="0" fontId="7" fillId="0" borderId="56" xfId="0" applyFont="1" applyFill="1" applyBorder="1" applyAlignment="1">
      <alignment vertical="center" wrapText="1"/>
    </xf>
    <xf numFmtId="49" fontId="0" fillId="0" borderId="62" xfId="0" applyNumberFormat="1" applyFont="1" applyFill="1" applyBorder="1" applyAlignment="1">
      <alignment horizontal="center" vertical="center" wrapText="1"/>
    </xf>
    <xf numFmtId="0" fontId="27" fillId="0" borderId="61" xfId="0" applyFont="1" applyFill="1" applyBorder="1" applyAlignment="1">
      <alignment wrapText="1"/>
    </xf>
    <xf numFmtId="0" fontId="0" fillId="0" borderId="62" xfId="0" applyFill="1" applyBorder="1" applyAlignment="1">
      <alignment horizontal="center" vertical="center" wrapText="1"/>
    </xf>
    <xf numFmtId="165" fontId="0" fillId="0" borderId="27"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wrapText="1"/>
    </xf>
    <xf numFmtId="0" fontId="0" fillId="0" borderId="56"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5"/>
  <sheetViews>
    <sheetView tabSelected="1" view="pageBreakPreview" zoomScale="75" zoomScaleNormal="75" zoomScaleSheetLayoutView="75" zoomScalePageLayoutView="0" workbookViewId="0" topLeftCell="A1">
      <pane xSplit="3" ySplit="13" topLeftCell="D155" activePane="bottomRight" state="frozen"/>
      <selection pane="topLeft" activeCell="A1" sqref="A1"/>
      <selection pane="topRight" activeCell="D1" sqref="D1"/>
      <selection pane="bottomLeft" activeCell="A14" sqref="A14"/>
      <selection pane="bottomRight" activeCell="C9" sqref="C9:C12"/>
    </sheetView>
  </sheetViews>
  <sheetFormatPr defaultColWidth="9.00390625" defaultRowHeight="12.75"/>
  <cols>
    <col min="1" max="1" width="17.375" style="3" customWidth="1"/>
    <col min="2" max="2" width="15.625" style="3" customWidth="1"/>
    <col min="3" max="3" width="74.00390625" style="3" customWidth="1"/>
    <col min="4" max="5" width="13.25390625" style="3" customWidth="1"/>
    <col min="6" max="6" width="12.25390625" style="3" customWidth="1"/>
    <col min="7" max="7" width="12.375" style="3" customWidth="1"/>
    <col min="8" max="8" width="14.125" style="3" customWidth="1"/>
    <col min="9" max="9" width="11.00390625" style="3" customWidth="1"/>
    <col min="10" max="10" width="12.375" style="3" customWidth="1"/>
    <col min="11" max="11" width="12.25390625" style="3" customWidth="1"/>
    <col min="12" max="12" width="11.00390625" style="3" customWidth="1"/>
    <col min="13" max="13" width="12.00390625" style="3" customWidth="1"/>
    <col min="14" max="14" width="11.00390625" style="3" customWidth="1"/>
    <col min="15" max="15" width="16.00390625" style="3" customWidth="1"/>
    <col min="16" max="16" width="15.75390625" style="3" customWidth="1"/>
    <col min="17" max="16384" width="9.125" style="3" customWidth="1"/>
  </cols>
  <sheetData>
    <row r="1" ht="12.75">
      <c r="N1" s="3" t="s">
        <v>68</v>
      </c>
    </row>
    <row r="2" ht="12.75">
      <c r="N2" s="3" t="s">
        <v>12</v>
      </c>
    </row>
    <row r="3" spans="1:14" ht="20.25">
      <c r="A3" s="87"/>
      <c r="N3" s="3" t="s">
        <v>13</v>
      </c>
    </row>
    <row r="4" ht="12.75"/>
    <row r="5" ht="12.75"/>
    <row r="6" spans="3:14" ht="15.75">
      <c r="C6" s="4"/>
      <c r="D6" s="4" t="s">
        <v>160</v>
      </c>
      <c r="E6" s="4"/>
      <c r="F6" s="4"/>
      <c r="G6" s="4"/>
      <c r="H6" s="4"/>
      <c r="I6" s="4"/>
      <c r="J6" s="4"/>
      <c r="K6" s="4"/>
      <c r="N6" s="4"/>
    </row>
    <row r="7" spans="3:14" ht="13.5" customHeight="1">
      <c r="C7" s="4"/>
      <c r="D7" s="4"/>
      <c r="E7" s="4"/>
      <c r="F7" s="4"/>
      <c r="G7" s="4"/>
      <c r="H7" s="4"/>
      <c r="I7" s="4"/>
      <c r="J7" s="4"/>
      <c r="K7" s="4"/>
      <c r="N7" s="4"/>
    </row>
    <row r="8" ht="23.25" customHeight="1" thickBot="1">
      <c r="P8" s="3" t="s">
        <v>14</v>
      </c>
    </row>
    <row r="9" spans="1:16" ht="18" customHeight="1" thickBot="1">
      <c r="A9" s="254" t="s">
        <v>69</v>
      </c>
      <c r="B9" s="273" t="s">
        <v>78</v>
      </c>
      <c r="C9" s="283" t="s">
        <v>79</v>
      </c>
      <c r="D9" s="288" t="s">
        <v>70</v>
      </c>
      <c r="E9" s="289"/>
      <c r="F9" s="289"/>
      <c r="G9" s="289"/>
      <c r="H9" s="290"/>
      <c r="I9" s="14"/>
      <c r="J9" s="15"/>
      <c r="K9" s="16" t="s">
        <v>77</v>
      </c>
      <c r="L9" s="17"/>
      <c r="M9" s="15"/>
      <c r="N9" s="15"/>
      <c r="O9" s="15"/>
      <c r="P9" s="286" t="s">
        <v>10</v>
      </c>
    </row>
    <row r="10" spans="1:16" ht="12.75" customHeight="1" thickBot="1">
      <c r="A10" s="272"/>
      <c r="B10" s="274"/>
      <c r="C10" s="284"/>
      <c r="D10" s="273" t="s">
        <v>1</v>
      </c>
      <c r="E10" s="276" t="s">
        <v>2</v>
      </c>
      <c r="F10" s="277"/>
      <c r="G10" s="278"/>
      <c r="H10" s="268" t="s">
        <v>75</v>
      </c>
      <c r="I10" s="271" t="s">
        <v>5</v>
      </c>
      <c r="J10" s="254" t="s">
        <v>6</v>
      </c>
      <c r="K10" s="294" t="s">
        <v>2</v>
      </c>
      <c r="L10" s="295"/>
      <c r="M10" s="271" t="s">
        <v>76</v>
      </c>
      <c r="N10" s="276" t="s">
        <v>8</v>
      </c>
      <c r="O10" s="277"/>
      <c r="P10" s="287"/>
    </row>
    <row r="11" spans="1:16" ht="12.75" customHeight="1">
      <c r="A11" s="272"/>
      <c r="B11" s="274"/>
      <c r="C11" s="284"/>
      <c r="D11" s="279"/>
      <c r="E11" s="271" t="s">
        <v>71</v>
      </c>
      <c r="F11" s="272" t="s">
        <v>3</v>
      </c>
      <c r="G11" s="271" t="s">
        <v>4</v>
      </c>
      <c r="H11" s="269"/>
      <c r="I11" s="271"/>
      <c r="J11" s="272"/>
      <c r="K11" s="291" t="s">
        <v>7</v>
      </c>
      <c r="L11" s="254" t="s">
        <v>4</v>
      </c>
      <c r="M11" s="271"/>
      <c r="N11" s="272" t="s">
        <v>9</v>
      </c>
      <c r="O11" s="84" t="s">
        <v>11</v>
      </c>
      <c r="P11" s="269"/>
    </row>
    <row r="12" spans="1:16" ht="161.25" customHeight="1" thickBot="1">
      <c r="A12" s="272"/>
      <c r="B12" s="275"/>
      <c r="C12" s="285"/>
      <c r="D12" s="280"/>
      <c r="E12" s="253"/>
      <c r="F12" s="281"/>
      <c r="G12" s="282"/>
      <c r="H12" s="270"/>
      <c r="I12" s="253"/>
      <c r="J12" s="293"/>
      <c r="K12" s="292"/>
      <c r="L12" s="281"/>
      <c r="M12" s="253"/>
      <c r="N12" s="281"/>
      <c r="O12" s="85" t="s">
        <v>80</v>
      </c>
      <c r="P12" s="270"/>
    </row>
    <row r="13" spans="1:16" ht="0.75" customHeight="1" thickBot="1">
      <c r="A13" s="18">
        <v>1</v>
      </c>
      <c r="B13" s="61">
        <v>2</v>
      </c>
      <c r="C13" s="61">
        <v>3</v>
      </c>
      <c r="D13" s="52">
        <v>4</v>
      </c>
      <c r="E13" s="18">
        <v>5</v>
      </c>
      <c r="F13" s="52">
        <v>6</v>
      </c>
      <c r="G13" s="70">
        <v>7</v>
      </c>
      <c r="H13" s="18">
        <v>8</v>
      </c>
      <c r="I13" s="71">
        <v>9</v>
      </c>
      <c r="J13" s="18">
        <v>10</v>
      </c>
      <c r="K13" s="52">
        <v>11</v>
      </c>
      <c r="L13" s="18">
        <v>12</v>
      </c>
      <c r="M13" s="52">
        <v>13</v>
      </c>
      <c r="N13" s="18">
        <v>14</v>
      </c>
      <c r="O13" s="52">
        <v>15</v>
      </c>
      <c r="P13" s="18">
        <v>16</v>
      </c>
    </row>
    <row r="14" spans="1:16" ht="23.25" customHeight="1">
      <c r="A14" s="99"/>
      <c r="B14" s="121"/>
      <c r="C14" s="109" t="s">
        <v>138</v>
      </c>
      <c r="D14" s="97">
        <f>D17+D19+D20+D21+D28+D30+D31+D33+D35+D22</f>
        <v>8908.314</v>
      </c>
      <c r="E14" s="97">
        <f>E17+E19+E20+E21+E28+E30+E31+E33+E35+E22</f>
        <v>8908.314</v>
      </c>
      <c r="F14" s="97">
        <f>F17+F19+F20+F21+F28+F30+F31+F33+F35</f>
        <v>3451.067</v>
      </c>
      <c r="G14" s="97">
        <f aca="true" t="shared" si="0" ref="G14:O14">G17+G19+G20+G21+G28+G30+G31+G33+G35+G25</f>
        <v>842.931</v>
      </c>
      <c r="H14" s="97">
        <f t="shared" si="0"/>
        <v>0</v>
      </c>
      <c r="I14" s="97">
        <f t="shared" si="0"/>
        <v>73.438</v>
      </c>
      <c r="J14" s="97">
        <f t="shared" si="0"/>
        <v>0</v>
      </c>
      <c r="K14" s="97">
        <f t="shared" si="0"/>
        <v>0</v>
      </c>
      <c r="L14" s="97">
        <f t="shared" si="0"/>
        <v>0</v>
      </c>
      <c r="M14" s="97">
        <f t="shared" si="0"/>
        <v>73.438</v>
      </c>
      <c r="N14" s="97">
        <f t="shared" si="0"/>
        <v>73.438</v>
      </c>
      <c r="O14" s="97">
        <f t="shared" si="0"/>
        <v>13</v>
      </c>
      <c r="P14" s="43">
        <f>D14+I14</f>
        <v>8981.752</v>
      </c>
    </row>
    <row r="15" spans="1:16" ht="18" customHeight="1">
      <c r="A15" s="100"/>
      <c r="B15" s="122"/>
      <c r="C15" s="110" t="s">
        <v>72</v>
      </c>
      <c r="D15" s="20"/>
      <c r="E15" s="21"/>
      <c r="F15" s="23"/>
      <c r="G15" s="22"/>
      <c r="H15" s="23"/>
      <c r="I15" s="21"/>
      <c r="J15" s="23"/>
      <c r="K15" s="21"/>
      <c r="L15" s="23"/>
      <c r="M15" s="21"/>
      <c r="N15" s="23"/>
      <c r="O15" s="21"/>
      <c r="P15" s="57"/>
    </row>
    <row r="16" spans="1:16" ht="24" customHeight="1">
      <c r="A16" s="134" t="s">
        <v>87</v>
      </c>
      <c r="B16" s="139"/>
      <c r="C16" s="136" t="s">
        <v>81</v>
      </c>
      <c r="D16" s="25">
        <f aca="true" t="shared" si="1" ref="D16:I16">D17</f>
        <v>4950.887000000001</v>
      </c>
      <c r="E16" s="25">
        <f t="shared" si="1"/>
        <v>4950.887000000001</v>
      </c>
      <c r="F16" s="25">
        <f t="shared" si="1"/>
        <v>2347.958</v>
      </c>
      <c r="G16" s="25">
        <f t="shared" si="1"/>
        <v>792.772</v>
      </c>
      <c r="H16" s="25">
        <f t="shared" si="1"/>
        <v>0</v>
      </c>
      <c r="I16" s="25">
        <f t="shared" si="1"/>
        <v>13</v>
      </c>
      <c r="J16" s="26">
        <v>0</v>
      </c>
      <c r="K16" s="26">
        <v>0</v>
      </c>
      <c r="L16" s="26">
        <v>0</v>
      </c>
      <c r="M16" s="26">
        <f>M17</f>
        <v>13</v>
      </c>
      <c r="N16" s="26">
        <f>N17</f>
        <v>13</v>
      </c>
      <c r="O16" s="26">
        <f>O17</f>
        <v>13</v>
      </c>
      <c r="P16" s="58">
        <f aca="true" t="shared" si="2" ref="P16:P53">D16+I16</f>
        <v>4963.887000000001</v>
      </c>
    </row>
    <row r="17" spans="1:16" ht="21" customHeight="1">
      <c r="A17" s="101" t="s">
        <v>15</v>
      </c>
      <c r="B17" s="59" t="s">
        <v>83</v>
      </c>
      <c r="C17" s="173" t="s">
        <v>82</v>
      </c>
      <c r="D17" s="25">
        <f>4971.705+3.339+100+45.153-13+120.893+39.018-316.221</f>
        <v>4950.887000000001</v>
      </c>
      <c r="E17" s="25">
        <f>4971.705+3.339+100+45.153-13+120.893+39.018-316.221</f>
        <v>4950.887000000001</v>
      </c>
      <c r="F17" s="26">
        <f>2489.832+33.128+88.696+21.304-285.002</f>
        <v>2347.958</v>
      </c>
      <c r="G17" s="27">
        <v>792.772</v>
      </c>
      <c r="H17" s="26">
        <v>0</v>
      </c>
      <c r="I17" s="25">
        <v>13</v>
      </c>
      <c r="J17" s="26">
        <v>0</v>
      </c>
      <c r="K17" s="26">
        <v>0</v>
      </c>
      <c r="L17" s="26">
        <v>0</v>
      </c>
      <c r="M17" s="26">
        <v>13</v>
      </c>
      <c r="N17" s="26">
        <v>13</v>
      </c>
      <c r="O17" s="27">
        <v>13</v>
      </c>
      <c r="P17" s="28">
        <f t="shared" si="2"/>
        <v>4963.887000000001</v>
      </c>
    </row>
    <row r="18" spans="1:16" ht="32.25" customHeight="1">
      <c r="A18" s="134" t="s">
        <v>144</v>
      </c>
      <c r="B18" s="135"/>
      <c r="C18" s="138" t="s">
        <v>145</v>
      </c>
      <c r="D18" s="25">
        <f>D19+D20+D21</f>
        <v>801.985</v>
      </c>
      <c r="E18" s="25">
        <f aca="true" t="shared" si="3" ref="E18:O18">E19+E20+E21</f>
        <v>801.985</v>
      </c>
      <c r="F18" s="25">
        <f t="shared" si="3"/>
        <v>509.56300000000005</v>
      </c>
      <c r="G18" s="25">
        <f t="shared" si="3"/>
        <v>50.159</v>
      </c>
      <c r="H18" s="25">
        <f t="shared" si="3"/>
        <v>0</v>
      </c>
      <c r="I18" s="25">
        <f t="shared" si="3"/>
        <v>0</v>
      </c>
      <c r="J18" s="25">
        <f t="shared" si="3"/>
        <v>0</v>
      </c>
      <c r="K18" s="25">
        <f t="shared" si="3"/>
        <v>0</v>
      </c>
      <c r="L18" s="25">
        <f t="shared" si="3"/>
        <v>0</v>
      </c>
      <c r="M18" s="25">
        <f t="shared" si="3"/>
        <v>0</v>
      </c>
      <c r="N18" s="25">
        <f t="shared" si="3"/>
        <v>0</v>
      </c>
      <c r="O18" s="54">
        <f t="shared" si="3"/>
        <v>0</v>
      </c>
      <c r="P18" s="86">
        <f t="shared" si="2"/>
        <v>801.985</v>
      </c>
    </row>
    <row r="19" spans="1:16" ht="23.25" customHeight="1">
      <c r="A19" s="239" t="s">
        <v>16</v>
      </c>
      <c r="B19" s="59" t="s">
        <v>84</v>
      </c>
      <c r="C19" s="240" t="s">
        <v>54</v>
      </c>
      <c r="D19" s="29">
        <f>753.816+4.2+2.555+3.779+7.56</f>
        <v>771.91</v>
      </c>
      <c r="E19" s="29">
        <f>753.816+4.2+2.555+3.779+7.56</f>
        <v>771.91</v>
      </c>
      <c r="F19" s="30">
        <f>499.369+1.875+2.773+5.546</f>
        <v>509.56300000000005</v>
      </c>
      <c r="G19" s="31">
        <f>48.159+2</f>
        <v>50.159</v>
      </c>
      <c r="H19" s="30">
        <v>0</v>
      </c>
      <c r="I19" s="29">
        <v>0</v>
      </c>
      <c r="J19" s="30">
        <v>0</v>
      </c>
      <c r="K19" s="30">
        <v>0</v>
      </c>
      <c r="L19" s="30">
        <v>0</v>
      </c>
      <c r="M19" s="30">
        <v>0</v>
      </c>
      <c r="N19" s="30">
        <v>0</v>
      </c>
      <c r="O19" s="31">
        <v>0</v>
      </c>
      <c r="P19" s="28">
        <f t="shared" si="2"/>
        <v>771.91</v>
      </c>
    </row>
    <row r="20" spans="1:16" ht="21.75" customHeight="1">
      <c r="A20" s="239" t="s">
        <v>73</v>
      </c>
      <c r="B20" s="59" t="s">
        <v>84</v>
      </c>
      <c r="C20" s="173" t="s">
        <v>85</v>
      </c>
      <c r="D20" s="29">
        <f>10.075+10</f>
        <v>20.075</v>
      </c>
      <c r="E20" s="29">
        <f>10.075+10</f>
        <v>20.075</v>
      </c>
      <c r="F20" s="30">
        <v>0</v>
      </c>
      <c r="G20" s="31">
        <v>0</v>
      </c>
      <c r="H20" s="30">
        <v>0</v>
      </c>
      <c r="I20" s="29">
        <v>0</v>
      </c>
      <c r="J20" s="30">
        <v>0</v>
      </c>
      <c r="K20" s="30">
        <v>0</v>
      </c>
      <c r="L20" s="30">
        <v>0</v>
      </c>
      <c r="M20" s="30">
        <v>0</v>
      </c>
      <c r="N20" s="30">
        <v>0</v>
      </c>
      <c r="O20" s="31">
        <v>0</v>
      </c>
      <c r="P20" s="28">
        <f t="shared" si="2"/>
        <v>20.075</v>
      </c>
    </row>
    <row r="21" spans="1:16" ht="22.5" customHeight="1">
      <c r="A21" s="239" t="s">
        <v>61</v>
      </c>
      <c r="B21" s="59" t="s">
        <v>84</v>
      </c>
      <c r="C21" s="241" t="s">
        <v>86</v>
      </c>
      <c r="D21" s="29">
        <v>10</v>
      </c>
      <c r="E21" s="29">
        <v>10</v>
      </c>
      <c r="F21" s="26">
        <v>0</v>
      </c>
      <c r="G21" s="27">
        <v>0</v>
      </c>
      <c r="H21" s="48">
        <v>0</v>
      </c>
      <c r="I21" s="25">
        <v>0</v>
      </c>
      <c r="J21" s="26">
        <v>0</v>
      </c>
      <c r="K21" s="26">
        <v>0</v>
      </c>
      <c r="L21" s="26">
        <v>0</v>
      </c>
      <c r="M21" s="26">
        <v>0</v>
      </c>
      <c r="N21" s="26">
        <v>0</v>
      </c>
      <c r="O21" s="27">
        <v>0</v>
      </c>
      <c r="P21" s="28">
        <f t="shared" si="2"/>
        <v>10</v>
      </c>
    </row>
    <row r="22" spans="1:16" ht="22.5" customHeight="1">
      <c r="A22" s="134" t="s">
        <v>150</v>
      </c>
      <c r="B22" s="135"/>
      <c r="C22" s="137" t="s">
        <v>151</v>
      </c>
      <c r="D22" s="29">
        <f>D23</f>
        <v>659.3499999999999</v>
      </c>
      <c r="E22" s="29">
        <f>E23</f>
        <v>659.3499999999999</v>
      </c>
      <c r="F22" s="25">
        <v>0</v>
      </c>
      <c r="G22" s="54">
        <v>0</v>
      </c>
      <c r="H22" s="26">
        <v>0</v>
      </c>
      <c r="I22" s="25">
        <f>I23+I25</f>
        <v>30.38</v>
      </c>
      <c r="J22" s="25">
        <f aca="true" t="shared" si="4" ref="J22:O22">J23+J25</f>
        <v>0</v>
      </c>
      <c r="K22" s="25">
        <f t="shared" si="4"/>
        <v>0</v>
      </c>
      <c r="L22" s="25">
        <f t="shared" si="4"/>
        <v>0</v>
      </c>
      <c r="M22" s="25">
        <f t="shared" si="4"/>
        <v>30.38</v>
      </c>
      <c r="N22" s="25">
        <f t="shared" si="4"/>
        <v>30.38</v>
      </c>
      <c r="O22" s="25">
        <f t="shared" si="4"/>
        <v>0</v>
      </c>
      <c r="P22" s="28">
        <f t="shared" si="2"/>
        <v>689.7299999999999</v>
      </c>
    </row>
    <row r="23" spans="1:16" ht="22.5" customHeight="1">
      <c r="A23" s="304" t="s">
        <v>188</v>
      </c>
      <c r="B23" s="59" t="s">
        <v>189</v>
      </c>
      <c r="C23" s="241" t="s">
        <v>190</v>
      </c>
      <c r="D23" s="29">
        <f>659.35+500-500</f>
        <v>659.3499999999999</v>
      </c>
      <c r="E23" s="29">
        <f>659.35+500-500</f>
        <v>659.3499999999999</v>
      </c>
      <c r="F23" s="25">
        <v>0</v>
      </c>
      <c r="G23" s="54">
        <v>0</v>
      </c>
      <c r="H23" s="26">
        <v>0</v>
      </c>
      <c r="I23" s="25">
        <v>0</v>
      </c>
      <c r="J23" s="25">
        <v>0</v>
      </c>
      <c r="K23" s="25">
        <v>0</v>
      </c>
      <c r="L23" s="25">
        <v>0</v>
      </c>
      <c r="M23" s="25">
        <v>0</v>
      </c>
      <c r="N23" s="25">
        <v>0</v>
      </c>
      <c r="O23" s="54">
        <v>0</v>
      </c>
      <c r="P23" s="28">
        <f t="shared" si="2"/>
        <v>659.3499999999999</v>
      </c>
    </row>
    <row r="24" spans="1:16" ht="22.5" customHeight="1">
      <c r="A24" s="305"/>
      <c r="B24" s="59"/>
      <c r="C24" s="112" t="s">
        <v>58</v>
      </c>
      <c r="D24" s="29">
        <f>471.45+187.9</f>
        <v>659.35</v>
      </c>
      <c r="E24" s="29">
        <f>471.45+187.9</f>
        <v>659.35</v>
      </c>
      <c r="F24" s="25">
        <v>0</v>
      </c>
      <c r="G24" s="54">
        <v>0</v>
      </c>
      <c r="H24" s="26">
        <v>0</v>
      </c>
      <c r="I24" s="25">
        <v>0</v>
      </c>
      <c r="J24" s="25">
        <v>0</v>
      </c>
      <c r="K24" s="25">
        <v>0</v>
      </c>
      <c r="L24" s="25">
        <v>0</v>
      </c>
      <c r="M24" s="25">
        <v>0</v>
      </c>
      <c r="N24" s="25">
        <v>0</v>
      </c>
      <c r="O24" s="54">
        <v>0</v>
      </c>
      <c r="P24" s="28">
        <f t="shared" si="2"/>
        <v>659.35</v>
      </c>
    </row>
    <row r="25" spans="1:16" ht="28.5" customHeight="1">
      <c r="A25" s="304" t="s">
        <v>195</v>
      </c>
      <c r="B25" s="59" t="s">
        <v>196</v>
      </c>
      <c r="C25" s="113" t="s">
        <v>197</v>
      </c>
      <c r="D25" s="29">
        <f>D26</f>
        <v>0</v>
      </c>
      <c r="E25" s="29">
        <f>E26</f>
        <v>0</v>
      </c>
      <c r="F25" s="25">
        <v>0</v>
      </c>
      <c r="G25" s="54">
        <v>0</v>
      </c>
      <c r="H25" s="26">
        <v>0</v>
      </c>
      <c r="I25" s="25">
        <f>I26</f>
        <v>30.38</v>
      </c>
      <c r="J25" s="25">
        <v>0</v>
      </c>
      <c r="K25" s="25">
        <v>0</v>
      </c>
      <c r="L25" s="25">
        <v>0</v>
      </c>
      <c r="M25" s="25">
        <f>M26</f>
        <v>30.38</v>
      </c>
      <c r="N25" s="25">
        <f>N26</f>
        <v>30.38</v>
      </c>
      <c r="O25" s="54">
        <v>0</v>
      </c>
      <c r="P25" s="28">
        <f t="shared" si="2"/>
        <v>30.38</v>
      </c>
    </row>
    <row r="26" spans="1:16" ht="22.5" customHeight="1">
      <c r="A26" s="305"/>
      <c r="B26" s="59"/>
      <c r="C26" s="112" t="s">
        <v>58</v>
      </c>
      <c r="D26" s="29">
        <v>0</v>
      </c>
      <c r="E26" s="29">
        <v>0</v>
      </c>
      <c r="F26" s="29">
        <v>0</v>
      </c>
      <c r="G26" s="29">
        <v>0</v>
      </c>
      <c r="H26" s="29">
        <v>0</v>
      </c>
      <c r="I26" s="25">
        <f>J26+M26</f>
        <v>30.38</v>
      </c>
      <c r="J26" s="25">
        <v>0</v>
      </c>
      <c r="K26" s="25">
        <v>0</v>
      </c>
      <c r="L26" s="25">
        <v>0</v>
      </c>
      <c r="M26" s="25">
        <v>30.38</v>
      </c>
      <c r="N26" s="25">
        <v>30.38</v>
      </c>
      <c r="O26" s="54">
        <v>0</v>
      </c>
      <c r="P26" s="28">
        <f t="shared" si="2"/>
        <v>30.38</v>
      </c>
    </row>
    <row r="27" spans="1:16" ht="22.5" customHeight="1">
      <c r="A27" s="134" t="s">
        <v>156</v>
      </c>
      <c r="B27" s="135"/>
      <c r="C27" s="137" t="s">
        <v>157</v>
      </c>
      <c r="D27" s="29">
        <f>D28</f>
        <v>161.766</v>
      </c>
      <c r="E27" s="29">
        <f aca="true" t="shared" si="5" ref="E27:O27">E28</f>
        <v>161.766</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53">
        <f t="shared" si="5"/>
        <v>0</v>
      </c>
      <c r="P27" s="28">
        <f t="shared" si="2"/>
        <v>161.766</v>
      </c>
    </row>
    <row r="28" spans="1:16" ht="25.5">
      <c r="A28" s="101" t="s">
        <v>59</v>
      </c>
      <c r="B28" s="59" t="s">
        <v>88</v>
      </c>
      <c r="C28" s="112" t="s">
        <v>60</v>
      </c>
      <c r="D28" s="25">
        <f>77.5+34.266+50</f>
        <v>161.766</v>
      </c>
      <c r="E28" s="25">
        <f>77.5+34.266+50</f>
        <v>161.766</v>
      </c>
      <c r="F28" s="26">
        <v>0</v>
      </c>
      <c r="G28" s="27">
        <v>0</v>
      </c>
      <c r="H28" s="26">
        <v>0</v>
      </c>
      <c r="I28" s="25">
        <v>0</v>
      </c>
      <c r="J28" s="26">
        <v>0</v>
      </c>
      <c r="K28" s="26">
        <v>0</v>
      </c>
      <c r="L28" s="26">
        <v>0</v>
      </c>
      <c r="M28" s="26">
        <v>0</v>
      </c>
      <c r="N28" s="26">
        <v>0</v>
      </c>
      <c r="O28" s="27">
        <v>0</v>
      </c>
      <c r="P28" s="28">
        <f t="shared" si="2"/>
        <v>161.766</v>
      </c>
    </row>
    <row r="29" spans="1:16" ht="27" customHeight="1">
      <c r="A29" s="134" t="s">
        <v>154</v>
      </c>
      <c r="B29" s="135"/>
      <c r="C29" s="133" t="s">
        <v>155</v>
      </c>
      <c r="D29" s="55">
        <f>D30+D31</f>
        <v>15</v>
      </c>
      <c r="E29" s="55">
        <f aca="true" t="shared" si="6" ref="E29:O29">E30+E31</f>
        <v>15</v>
      </c>
      <c r="F29" s="55">
        <f t="shared" si="6"/>
        <v>0</v>
      </c>
      <c r="G29" s="55">
        <f t="shared" si="6"/>
        <v>0</v>
      </c>
      <c r="H29" s="55">
        <f t="shared" si="6"/>
        <v>0</v>
      </c>
      <c r="I29" s="55">
        <f t="shared" si="6"/>
        <v>0</v>
      </c>
      <c r="J29" s="55">
        <f t="shared" si="6"/>
        <v>0</v>
      </c>
      <c r="K29" s="55">
        <f t="shared" si="6"/>
        <v>0</v>
      </c>
      <c r="L29" s="55">
        <f t="shared" si="6"/>
        <v>0</v>
      </c>
      <c r="M29" s="55">
        <f t="shared" si="6"/>
        <v>0</v>
      </c>
      <c r="N29" s="55">
        <f t="shared" si="6"/>
        <v>0</v>
      </c>
      <c r="O29" s="67">
        <f t="shared" si="6"/>
        <v>0</v>
      </c>
      <c r="P29" s="56">
        <f>D29+I29</f>
        <v>15</v>
      </c>
    </row>
    <row r="30" spans="1:16" ht="26.25" customHeight="1">
      <c r="A30" s="101" t="s">
        <v>62</v>
      </c>
      <c r="B30" s="59" t="s">
        <v>89</v>
      </c>
      <c r="C30" s="174" t="s">
        <v>64</v>
      </c>
      <c r="D30" s="25">
        <v>5</v>
      </c>
      <c r="E30" s="25">
        <v>5</v>
      </c>
      <c r="F30" s="26">
        <v>0</v>
      </c>
      <c r="G30" s="27">
        <v>0</v>
      </c>
      <c r="H30" s="26">
        <v>0</v>
      </c>
      <c r="I30" s="25">
        <v>0</v>
      </c>
      <c r="J30" s="26">
        <v>0</v>
      </c>
      <c r="K30" s="26">
        <v>0</v>
      </c>
      <c r="L30" s="26">
        <v>0</v>
      </c>
      <c r="M30" s="26">
        <v>0</v>
      </c>
      <c r="N30" s="26">
        <v>0</v>
      </c>
      <c r="O30" s="27">
        <v>0</v>
      </c>
      <c r="P30" s="28">
        <f t="shared" si="2"/>
        <v>5</v>
      </c>
    </row>
    <row r="31" spans="1:16" ht="29.25" customHeight="1">
      <c r="A31" s="101" t="s">
        <v>63</v>
      </c>
      <c r="B31" s="59" t="s">
        <v>89</v>
      </c>
      <c r="C31" s="113" t="s">
        <v>65</v>
      </c>
      <c r="D31" s="25">
        <v>10</v>
      </c>
      <c r="E31" s="25">
        <v>10</v>
      </c>
      <c r="F31" s="26">
        <v>0</v>
      </c>
      <c r="G31" s="27">
        <v>0</v>
      </c>
      <c r="H31" s="26">
        <v>0</v>
      </c>
      <c r="I31" s="25">
        <v>0</v>
      </c>
      <c r="J31" s="26">
        <v>0</v>
      </c>
      <c r="K31" s="26">
        <v>0</v>
      </c>
      <c r="L31" s="26">
        <v>0</v>
      </c>
      <c r="M31" s="26">
        <v>0</v>
      </c>
      <c r="N31" s="26">
        <v>0</v>
      </c>
      <c r="O31" s="27">
        <v>0</v>
      </c>
      <c r="P31" s="28">
        <f t="shared" si="2"/>
        <v>10</v>
      </c>
    </row>
    <row r="32" spans="1:16" ht="29.25" customHeight="1">
      <c r="A32" s="134" t="s">
        <v>148</v>
      </c>
      <c r="B32" s="135"/>
      <c r="C32" s="137" t="s">
        <v>149</v>
      </c>
      <c r="D32" s="25">
        <f>D33+D35</f>
        <v>2319.326</v>
      </c>
      <c r="E32" s="25">
        <f>E33+E35</f>
        <v>2319.326</v>
      </c>
      <c r="F32" s="25">
        <f>F33</f>
        <v>593.546</v>
      </c>
      <c r="G32" s="25">
        <f>G33</f>
        <v>0</v>
      </c>
      <c r="H32" s="25">
        <f>H33</f>
        <v>0</v>
      </c>
      <c r="I32" s="25">
        <f>I33+I35</f>
        <v>30.058</v>
      </c>
      <c r="J32" s="25">
        <f aca="true" t="shared" si="7" ref="J32:O32">J33+J35</f>
        <v>0</v>
      </c>
      <c r="K32" s="25">
        <f t="shared" si="7"/>
        <v>0</v>
      </c>
      <c r="L32" s="25">
        <f t="shared" si="7"/>
        <v>0</v>
      </c>
      <c r="M32" s="25">
        <f t="shared" si="7"/>
        <v>30.058</v>
      </c>
      <c r="N32" s="25">
        <f t="shared" si="7"/>
        <v>30.058</v>
      </c>
      <c r="O32" s="25">
        <f t="shared" si="7"/>
        <v>0</v>
      </c>
      <c r="P32" s="28">
        <f t="shared" si="2"/>
        <v>2349.384</v>
      </c>
    </row>
    <row r="33" spans="1:16" ht="29.25" customHeight="1">
      <c r="A33" s="304" t="s">
        <v>132</v>
      </c>
      <c r="B33" s="219" t="s">
        <v>133</v>
      </c>
      <c r="C33" s="112" t="s">
        <v>134</v>
      </c>
      <c r="D33" s="55">
        <f>130+1140.672+7.6+91.382+5.9+359.343</f>
        <v>1734.8970000000002</v>
      </c>
      <c r="E33" s="55">
        <f>130+1140.672+7.6+91.382+5.9+359.343</f>
        <v>1734.8970000000002</v>
      </c>
      <c r="F33" s="26">
        <f>F34</f>
        <v>593.546</v>
      </c>
      <c r="G33" s="27">
        <v>0</v>
      </c>
      <c r="H33" s="26">
        <v>0</v>
      </c>
      <c r="I33" s="25">
        <v>0</v>
      </c>
      <c r="J33" s="26">
        <v>0</v>
      </c>
      <c r="K33" s="26">
        <v>0</v>
      </c>
      <c r="L33" s="26">
        <v>0</v>
      </c>
      <c r="M33" s="26">
        <v>0</v>
      </c>
      <c r="N33" s="26">
        <v>0</v>
      </c>
      <c r="O33" s="27">
        <v>0</v>
      </c>
      <c r="P33" s="28">
        <f t="shared" si="2"/>
        <v>1734.8970000000002</v>
      </c>
    </row>
    <row r="34" spans="1:16" ht="29.25" customHeight="1">
      <c r="A34" s="256"/>
      <c r="B34" s="219"/>
      <c r="C34" s="112" t="s">
        <v>198</v>
      </c>
      <c r="D34" s="55">
        <f>1140.672+7.6+91.382+5.9+359.343</f>
        <v>1604.8970000000002</v>
      </c>
      <c r="E34" s="55">
        <f>1140.672+7.6+91.382+5.9+359.343</f>
        <v>1604.8970000000002</v>
      </c>
      <c r="F34" s="25">
        <v>593.546</v>
      </c>
      <c r="G34" s="54">
        <v>0</v>
      </c>
      <c r="H34" s="26">
        <v>0</v>
      </c>
      <c r="I34" s="25">
        <v>0</v>
      </c>
      <c r="J34" s="25">
        <v>0</v>
      </c>
      <c r="K34" s="25">
        <v>0</v>
      </c>
      <c r="L34" s="25">
        <v>0</v>
      </c>
      <c r="M34" s="25">
        <v>0</v>
      </c>
      <c r="N34" s="25">
        <v>0</v>
      </c>
      <c r="O34" s="54">
        <v>0</v>
      </c>
      <c r="P34" s="28">
        <f t="shared" si="2"/>
        <v>1604.8970000000002</v>
      </c>
    </row>
    <row r="35" spans="1:16" ht="29.25" customHeight="1">
      <c r="A35" s="266" t="s">
        <v>176</v>
      </c>
      <c r="B35" s="59" t="s">
        <v>114</v>
      </c>
      <c r="C35" s="174" t="s">
        <v>115</v>
      </c>
      <c r="D35" s="55">
        <f>D36</f>
        <v>584.4290000000001</v>
      </c>
      <c r="E35" s="55">
        <f>E36</f>
        <v>584.4290000000001</v>
      </c>
      <c r="F35" s="25">
        <v>0</v>
      </c>
      <c r="G35" s="54">
        <v>0</v>
      </c>
      <c r="H35" s="26">
        <v>0</v>
      </c>
      <c r="I35" s="25">
        <f aca="true" t="shared" si="8" ref="I35:O35">I36</f>
        <v>30.058</v>
      </c>
      <c r="J35" s="25">
        <f t="shared" si="8"/>
        <v>0</v>
      </c>
      <c r="K35" s="25">
        <f t="shared" si="8"/>
        <v>0</v>
      </c>
      <c r="L35" s="25">
        <f t="shared" si="8"/>
        <v>0</v>
      </c>
      <c r="M35" s="25">
        <f t="shared" si="8"/>
        <v>30.058</v>
      </c>
      <c r="N35" s="25">
        <f t="shared" si="8"/>
        <v>30.058</v>
      </c>
      <c r="O35" s="54">
        <f t="shared" si="8"/>
        <v>0</v>
      </c>
      <c r="P35" s="28">
        <f>D36+I36</f>
        <v>614.4870000000001</v>
      </c>
    </row>
    <row r="36" spans="1:16" ht="29.25" customHeight="1">
      <c r="A36" s="267"/>
      <c r="B36" s="123"/>
      <c r="C36" s="175" t="s">
        <v>58</v>
      </c>
      <c r="D36" s="55">
        <f>E36</f>
        <v>584.4290000000001</v>
      </c>
      <c r="E36" s="55">
        <f>74.767+381.232+13.092+80.253+35.085</f>
        <v>584.4290000000001</v>
      </c>
      <c r="F36" s="25">
        <v>0</v>
      </c>
      <c r="G36" s="54">
        <v>0</v>
      </c>
      <c r="H36" s="26">
        <v>0</v>
      </c>
      <c r="I36" s="25">
        <f>J36+M36</f>
        <v>30.058</v>
      </c>
      <c r="J36" s="26">
        <v>0</v>
      </c>
      <c r="K36" s="26">
        <v>0</v>
      </c>
      <c r="L36" s="26">
        <v>0</v>
      </c>
      <c r="M36" s="26">
        <v>30.058</v>
      </c>
      <c r="N36" s="26">
        <f>65.143-35.085</f>
        <v>30.058</v>
      </c>
      <c r="O36" s="27">
        <v>0</v>
      </c>
      <c r="P36" s="28">
        <f>D36+I36</f>
        <v>614.4870000000001</v>
      </c>
    </row>
    <row r="37" spans="1:16" ht="30.75" customHeight="1">
      <c r="A37" s="101"/>
      <c r="B37" s="123"/>
      <c r="C37" s="114" t="s">
        <v>141</v>
      </c>
      <c r="D37" s="25">
        <f>D40+D42+D54+D45+D48+D51</f>
        <v>2731.174</v>
      </c>
      <c r="E37" s="25">
        <f>E40+E42+E54+E45+E48+E51</f>
        <v>2731.174</v>
      </c>
      <c r="F37" s="25">
        <f aca="true" t="shared" si="9" ref="F37:O37">F40+F42+F54+F45+F48</f>
        <v>111.60300000000001</v>
      </c>
      <c r="G37" s="25">
        <f t="shared" si="9"/>
        <v>39.03099999999999</v>
      </c>
      <c r="H37" s="25">
        <f t="shared" si="9"/>
        <v>0</v>
      </c>
      <c r="I37" s="25">
        <f t="shared" si="9"/>
        <v>102.26400000000001</v>
      </c>
      <c r="J37" s="25">
        <f t="shared" si="9"/>
        <v>102.26400000000001</v>
      </c>
      <c r="K37" s="25">
        <f t="shared" si="9"/>
        <v>0</v>
      </c>
      <c r="L37" s="25">
        <f t="shared" si="9"/>
        <v>0</v>
      </c>
      <c r="M37" s="25">
        <f t="shared" si="9"/>
        <v>0</v>
      </c>
      <c r="N37" s="25">
        <f t="shared" si="9"/>
        <v>0</v>
      </c>
      <c r="O37" s="54">
        <f t="shared" si="9"/>
        <v>0</v>
      </c>
      <c r="P37" s="28">
        <f>P40+P42+P54+P45+P48+P51</f>
        <v>2833.438</v>
      </c>
    </row>
    <row r="38" spans="1:16" ht="21.75" customHeight="1">
      <c r="A38" s="101"/>
      <c r="B38" s="123"/>
      <c r="C38" s="113" t="s">
        <v>136</v>
      </c>
      <c r="D38" s="54"/>
      <c r="E38" s="26"/>
      <c r="F38" s="27"/>
      <c r="G38" s="27"/>
      <c r="H38" s="26"/>
      <c r="I38" s="25"/>
      <c r="J38" s="25"/>
      <c r="K38" s="26"/>
      <c r="L38" s="26"/>
      <c r="M38" s="26"/>
      <c r="N38" s="26"/>
      <c r="O38" s="27"/>
      <c r="P38" s="28"/>
    </row>
    <row r="39" spans="1:16" ht="27" customHeight="1">
      <c r="A39" s="134" t="s">
        <v>87</v>
      </c>
      <c r="B39" s="135"/>
      <c r="C39" s="136" t="s">
        <v>81</v>
      </c>
      <c r="D39" s="171">
        <f>D40</f>
        <v>283.05999999999995</v>
      </c>
      <c r="E39" s="30">
        <f>E40</f>
        <v>283.05999999999995</v>
      </c>
      <c r="F39" s="81">
        <f>F40</f>
        <v>111.60300000000001</v>
      </c>
      <c r="G39" s="82">
        <v>24.011</v>
      </c>
      <c r="H39" s="45">
        <v>0</v>
      </c>
      <c r="I39" s="44">
        <v>0</v>
      </c>
      <c r="J39" s="45">
        <v>0</v>
      </c>
      <c r="K39" s="45">
        <v>0</v>
      </c>
      <c r="L39" s="45">
        <v>0</v>
      </c>
      <c r="M39" s="45">
        <v>0</v>
      </c>
      <c r="N39" s="45">
        <v>0</v>
      </c>
      <c r="O39" s="46">
        <v>0</v>
      </c>
      <c r="P39" s="28">
        <f t="shared" si="2"/>
        <v>283.05999999999995</v>
      </c>
    </row>
    <row r="40" spans="1:16" ht="24" customHeight="1" thickBot="1">
      <c r="A40" s="148" t="s">
        <v>15</v>
      </c>
      <c r="B40" s="127" t="s">
        <v>83</v>
      </c>
      <c r="C40" s="242" t="s">
        <v>82</v>
      </c>
      <c r="D40" s="37">
        <f>221.054+7.176+65.925-11.095</f>
        <v>283.05999999999995</v>
      </c>
      <c r="E40" s="37">
        <f>221.054+7.176+65.925-11.095</f>
        <v>283.05999999999995</v>
      </c>
      <c r="F40" s="243">
        <f>121.953-10.35</f>
        <v>111.60300000000001</v>
      </c>
      <c r="G40" s="244">
        <v>24.011</v>
      </c>
      <c r="H40" s="38">
        <v>0</v>
      </c>
      <c r="I40" s="37">
        <v>0</v>
      </c>
      <c r="J40" s="38">
        <v>0</v>
      </c>
      <c r="K40" s="38">
        <v>0</v>
      </c>
      <c r="L40" s="38">
        <v>0</v>
      </c>
      <c r="M40" s="38">
        <v>0</v>
      </c>
      <c r="N40" s="38">
        <v>0</v>
      </c>
      <c r="O40" s="39">
        <v>0</v>
      </c>
      <c r="P40" s="172">
        <f t="shared" si="2"/>
        <v>283.05999999999995</v>
      </c>
    </row>
    <row r="41" spans="1:16" ht="24" customHeight="1">
      <c r="A41" s="199" t="s">
        <v>150</v>
      </c>
      <c r="B41" s="200"/>
      <c r="C41" s="201" t="s">
        <v>151</v>
      </c>
      <c r="D41" s="72">
        <f>D42</f>
        <v>2149.114</v>
      </c>
      <c r="E41" s="72">
        <f>E42</f>
        <v>2149.114</v>
      </c>
      <c r="F41" s="75">
        <f aca="true" t="shared" si="10" ref="F41:O41">F42</f>
        <v>0</v>
      </c>
      <c r="G41" s="75">
        <f t="shared" si="10"/>
        <v>15.019999999999996</v>
      </c>
      <c r="H41" s="75">
        <f t="shared" si="10"/>
        <v>0</v>
      </c>
      <c r="I41" s="75">
        <f t="shared" si="10"/>
        <v>17.65</v>
      </c>
      <c r="J41" s="75">
        <f t="shared" si="10"/>
        <v>17.65</v>
      </c>
      <c r="K41" s="75">
        <f t="shared" si="10"/>
        <v>0</v>
      </c>
      <c r="L41" s="75">
        <f t="shared" si="10"/>
        <v>0</v>
      </c>
      <c r="M41" s="75">
        <f t="shared" si="10"/>
        <v>0</v>
      </c>
      <c r="N41" s="75">
        <f t="shared" si="10"/>
        <v>0</v>
      </c>
      <c r="O41" s="76">
        <f t="shared" si="10"/>
        <v>0</v>
      </c>
      <c r="P41" s="202">
        <f t="shared" si="2"/>
        <v>2166.764</v>
      </c>
    </row>
    <row r="42" spans="1:16" ht="33.75" customHeight="1">
      <c r="A42" s="259" t="s">
        <v>17</v>
      </c>
      <c r="B42" s="59" t="s">
        <v>91</v>
      </c>
      <c r="C42" s="176" t="s">
        <v>90</v>
      </c>
      <c r="D42" s="245">
        <f>65.02+298.048+191.059+94.987+356+869+110+165</f>
        <v>2149.114</v>
      </c>
      <c r="E42" s="245">
        <f>65.02+298.048+191.059+94.987+356+869+110+165</f>
        <v>2149.114</v>
      </c>
      <c r="F42" s="246">
        <v>0</v>
      </c>
      <c r="G42" s="246">
        <f>65.02-50</f>
        <v>15.019999999999996</v>
      </c>
      <c r="H42" s="30">
        <v>0</v>
      </c>
      <c r="I42" s="30">
        <v>17.65</v>
      </c>
      <c r="J42" s="30">
        <v>17.65</v>
      </c>
      <c r="K42" s="30">
        <v>0</v>
      </c>
      <c r="L42" s="30">
        <v>0</v>
      </c>
      <c r="M42" s="30">
        <v>0</v>
      </c>
      <c r="N42" s="30">
        <v>0</v>
      </c>
      <c r="O42" s="31">
        <v>0</v>
      </c>
      <c r="P42" s="28">
        <f t="shared" si="2"/>
        <v>2166.764</v>
      </c>
    </row>
    <row r="43" spans="1:16" ht="33.75" customHeight="1">
      <c r="A43" s="259"/>
      <c r="B43" s="59"/>
      <c r="C43" s="247" t="s">
        <v>58</v>
      </c>
      <c r="D43" s="245">
        <f>94.987+110</f>
        <v>204.987</v>
      </c>
      <c r="E43" s="246">
        <f>94.987+110</f>
        <v>204.987</v>
      </c>
      <c r="F43" s="246">
        <v>0</v>
      </c>
      <c r="G43" s="246">
        <v>0</v>
      </c>
      <c r="H43" s="30">
        <v>0</v>
      </c>
      <c r="I43" s="26">
        <v>0</v>
      </c>
      <c r="J43" s="26">
        <v>0</v>
      </c>
      <c r="K43" s="26">
        <v>0</v>
      </c>
      <c r="L43" s="26">
        <v>0</v>
      </c>
      <c r="M43" s="26">
        <v>0</v>
      </c>
      <c r="N43" s="26">
        <v>0</v>
      </c>
      <c r="O43" s="27">
        <v>0</v>
      </c>
      <c r="P43" s="28">
        <f aca="true" t="shared" si="11" ref="P43:P52">D43+I43</f>
        <v>204.987</v>
      </c>
    </row>
    <row r="44" spans="1:16" ht="33.75" customHeight="1">
      <c r="A44" s="203" t="s">
        <v>146</v>
      </c>
      <c r="B44" s="124"/>
      <c r="C44" s="152" t="s">
        <v>147</v>
      </c>
      <c r="D44" s="96">
        <f>D45</f>
        <v>100</v>
      </c>
      <c r="E44" s="96">
        <f>E45</f>
        <v>100</v>
      </c>
      <c r="F44" s="45">
        <v>0</v>
      </c>
      <c r="G44" s="46">
        <v>0</v>
      </c>
      <c r="H44" s="45">
        <v>0</v>
      </c>
      <c r="I44" s="44">
        <v>0</v>
      </c>
      <c r="J44" s="45">
        <v>0</v>
      </c>
      <c r="K44" s="45">
        <v>0</v>
      </c>
      <c r="L44" s="45">
        <v>0</v>
      </c>
      <c r="M44" s="45">
        <v>0</v>
      </c>
      <c r="N44" s="45">
        <v>0</v>
      </c>
      <c r="O44" s="31">
        <v>0</v>
      </c>
      <c r="P44" s="32">
        <f t="shared" si="11"/>
        <v>100</v>
      </c>
    </row>
    <row r="45" spans="1:16" ht="33.75" customHeight="1">
      <c r="A45" s="257" t="s">
        <v>177</v>
      </c>
      <c r="B45" s="177" t="s">
        <v>88</v>
      </c>
      <c r="C45" s="248" t="s">
        <v>178</v>
      </c>
      <c r="D45" s="29">
        <f>D46</f>
        <v>100</v>
      </c>
      <c r="E45" s="29">
        <f>E46</f>
        <v>100</v>
      </c>
      <c r="F45" s="30">
        <v>0</v>
      </c>
      <c r="G45" s="31">
        <v>0</v>
      </c>
      <c r="H45" s="30">
        <v>0</v>
      </c>
      <c r="I45" s="29">
        <v>0</v>
      </c>
      <c r="J45" s="30">
        <v>0</v>
      </c>
      <c r="K45" s="30">
        <v>0</v>
      </c>
      <c r="L45" s="30">
        <v>0</v>
      </c>
      <c r="M45" s="30">
        <v>0</v>
      </c>
      <c r="N45" s="30">
        <v>0</v>
      </c>
      <c r="O45" s="31">
        <v>0</v>
      </c>
      <c r="P45" s="32">
        <f t="shared" si="11"/>
        <v>100</v>
      </c>
    </row>
    <row r="46" spans="1:16" ht="33.75" customHeight="1">
      <c r="A46" s="264"/>
      <c r="B46" s="177"/>
      <c r="C46" s="247" t="s">
        <v>58</v>
      </c>
      <c r="D46" s="29">
        <v>100</v>
      </c>
      <c r="E46" s="29">
        <v>100</v>
      </c>
      <c r="F46" s="30">
        <v>0</v>
      </c>
      <c r="G46" s="31">
        <v>0</v>
      </c>
      <c r="H46" s="30">
        <v>0</v>
      </c>
      <c r="I46" s="29">
        <v>0</v>
      </c>
      <c r="J46" s="30">
        <v>0</v>
      </c>
      <c r="K46" s="30">
        <v>0</v>
      </c>
      <c r="L46" s="30">
        <v>0</v>
      </c>
      <c r="M46" s="30">
        <v>0</v>
      </c>
      <c r="N46" s="30">
        <v>0</v>
      </c>
      <c r="O46" s="31">
        <v>0</v>
      </c>
      <c r="P46" s="32">
        <f t="shared" si="11"/>
        <v>100</v>
      </c>
    </row>
    <row r="47" spans="1:16" ht="33.75" customHeight="1">
      <c r="A47" s="204">
        <v>200000</v>
      </c>
      <c r="B47" s="132"/>
      <c r="C47" s="153" t="s">
        <v>185</v>
      </c>
      <c r="D47" s="88">
        <f>D48+D53</f>
        <v>99</v>
      </c>
      <c r="E47" s="88">
        <f aca="true" t="shared" si="12" ref="E47:O47">E48+E53</f>
        <v>99</v>
      </c>
      <c r="F47" s="88">
        <f t="shared" si="12"/>
        <v>0</v>
      </c>
      <c r="G47" s="88">
        <f t="shared" si="12"/>
        <v>0</v>
      </c>
      <c r="H47" s="88">
        <f t="shared" si="12"/>
        <v>0</v>
      </c>
      <c r="I47" s="88">
        <v>0</v>
      </c>
      <c r="J47" s="88">
        <v>0</v>
      </c>
      <c r="K47" s="88">
        <f t="shared" si="12"/>
        <v>0</v>
      </c>
      <c r="L47" s="88">
        <f t="shared" si="12"/>
        <v>0</v>
      </c>
      <c r="M47" s="88">
        <f t="shared" si="12"/>
        <v>0</v>
      </c>
      <c r="N47" s="88">
        <f t="shared" si="12"/>
        <v>0</v>
      </c>
      <c r="O47" s="89">
        <f t="shared" si="12"/>
        <v>0</v>
      </c>
      <c r="P47" s="56">
        <f t="shared" si="11"/>
        <v>99</v>
      </c>
    </row>
    <row r="48" spans="1:16" ht="33.75" customHeight="1">
      <c r="A48" s="300">
        <v>200700</v>
      </c>
      <c r="B48" s="230" t="s">
        <v>187</v>
      </c>
      <c r="C48" s="249" t="s">
        <v>186</v>
      </c>
      <c r="D48" s="55">
        <f>D49</f>
        <v>99</v>
      </c>
      <c r="E48" s="55">
        <f>E49</f>
        <v>99</v>
      </c>
      <c r="F48" s="90">
        <v>0</v>
      </c>
      <c r="G48" s="91">
        <v>0</v>
      </c>
      <c r="H48" s="90">
        <v>0</v>
      </c>
      <c r="I48" s="55">
        <v>0</v>
      </c>
      <c r="J48" s="90">
        <v>0</v>
      </c>
      <c r="K48" s="90">
        <v>0</v>
      </c>
      <c r="L48" s="90">
        <v>0</v>
      </c>
      <c r="M48" s="90">
        <v>0</v>
      </c>
      <c r="N48" s="90">
        <v>0</v>
      </c>
      <c r="O48" s="91">
        <v>0</v>
      </c>
      <c r="P48" s="56">
        <f t="shared" si="11"/>
        <v>99</v>
      </c>
    </row>
    <row r="49" spans="1:16" ht="33.75" customHeight="1">
      <c r="A49" s="301"/>
      <c r="B49" s="230"/>
      <c r="C49" s="247" t="s">
        <v>58</v>
      </c>
      <c r="D49" s="55">
        <v>99</v>
      </c>
      <c r="E49" s="55">
        <v>99</v>
      </c>
      <c r="F49" s="90">
        <v>0</v>
      </c>
      <c r="G49" s="91">
        <v>0</v>
      </c>
      <c r="H49" s="90">
        <v>0</v>
      </c>
      <c r="I49" s="55">
        <v>0</v>
      </c>
      <c r="J49" s="90">
        <v>0</v>
      </c>
      <c r="K49" s="90">
        <v>0</v>
      </c>
      <c r="L49" s="90">
        <v>0</v>
      </c>
      <c r="M49" s="90">
        <v>0</v>
      </c>
      <c r="N49" s="90">
        <v>0</v>
      </c>
      <c r="O49" s="91">
        <v>0</v>
      </c>
      <c r="P49" s="56">
        <f t="shared" si="11"/>
        <v>99</v>
      </c>
    </row>
    <row r="50" spans="1:16" ht="33.75" customHeight="1">
      <c r="A50" s="204">
        <v>210000</v>
      </c>
      <c r="B50" s="132"/>
      <c r="C50" s="154" t="s">
        <v>192</v>
      </c>
      <c r="D50" s="98">
        <f>D51</f>
        <v>100</v>
      </c>
      <c r="E50" s="98">
        <f>E51</f>
        <v>100</v>
      </c>
      <c r="F50" s="90">
        <v>0</v>
      </c>
      <c r="G50" s="91">
        <v>0</v>
      </c>
      <c r="H50" s="90">
        <v>0</v>
      </c>
      <c r="I50" s="55">
        <v>0</v>
      </c>
      <c r="J50" s="90">
        <v>0</v>
      </c>
      <c r="K50" s="90">
        <v>0</v>
      </c>
      <c r="L50" s="90">
        <v>0</v>
      </c>
      <c r="M50" s="90">
        <v>0</v>
      </c>
      <c r="N50" s="90">
        <v>0</v>
      </c>
      <c r="O50" s="91">
        <v>0</v>
      </c>
      <c r="P50" s="56">
        <f>D50+I50</f>
        <v>100</v>
      </c>
    </row>
    <row r="51" spans="1:16" ht="33.75" customHeight="1">
      <c r="A51" s="302">
        <v>210105</v>
      </c>
      <c r="B51" s="250" t="s">
        <v>194</v>
      </c>
      <c r="C51" s="248" t="s">
        <v>191</v>
      </c>
      <c r="D51" s="98">
        <f>D52</f>
        <v>100</v>
      </c>
      <c r="E51" s="98">
        <f>E52</f>
        <v>100</v>
      </c>
      <c r="F51" s="90">
        <v>0</v>
      </c>
      <c r="G51" s="91">
        <v>0</v>
      </c>
      <c r="H51" s="90">
        <v>0</v>
      </c>
      <c r="I51" s="55">
        <v>0</v>
      </c>
      <c r="J51" s="90">
        <v>0</v>
      </c>
      <c r="K51" s="90">
        <v>0</v>
      </c>
      <c r="L51" s="90">
        <v>0</v>
      </c>
      <c r="M51" s="90">
        <v>0</v>
      </c>
      <c r="N51" s="90">
        <v>0</v>
      </c>
      <c r="O51" s="91">
        <v>0</v>
      </c>
      <c r="P51" s="56">
        <f t="shared" si="11"/>
        <v>100</v>
      </c>
    </row>
    <row r="52" spans="1:16" ht="33.75" customHeight="1">
      <c r="A52" s="303"/>
      <c r="B52" s="250"/>
      <c r="C52" s="156" t="s">
        <v>58</v>
      </c>
      <c r="D52" s="98">
        <v>100</v>
      </c>
      <c r="E52" s="98">
        <v>100</v>
      </c>
      <c r="F52" s="90">
        <v>0</v>
      </c>
      <c r="G52" s="91">
        <v>0</v>
      </c>
      <c r="H52" s="90">
        <v>0</v>
      </c>
      <c r="I52" s="55">
        <v>0</v>
      </c>
      <c r="J52" s="90">
        <v>0</v>
      </c>
      <c r="K52" s="90">
        <v>0</v>
      </c>
      <c r="L52" s="90">
        <v>0</v>
      </c>
      <c r="M52" s="90">
        <v>0</v>
      </c>
      <c r="N52" s="90">
        <v>0</v>
      </c>
      <c r="O52" s="91">
        <v>0</v>
      </c>
      <c r="P52" s="56">
        <f t="shared" si="11"/>
        <v>100</v>
      </c>
    </row>
    <row r="53" spans="1:16" ht="32.25" customHeight="1">
      <c r="A53" s="203" t="s">
        <v>152</v>
      </c>
      <c r="B53" s="124"/>
      <c r="C53" s="155" t="s">
        <v>153</v>
      </c>
      <c r="D53" s="92">
        <f>D54</f>
        <v>0</v>
      </c>
      <c r="E53" s="92">
        <f aca="true" t="shared" si="13" ref="E53:O53">E54</f>
        <v>0</v>
      </c>
      <c r="F53" s="92">
        <f t="shared" si="13"/>
        <v>0</v>
      </c>
      <c r="G53" s="92">
        <f t="shared" si="13"/>
        <v>0</v>
      </c>
      <c r="H53" s="92">
        <f t="shared" si="13"/>
        <v>0</v>
      </c>
      <c r="I53" s="92">
        <f t="shared" si="13"/>
        <v>84.614</v>
      </c>
      <c r="J53" s="92">
        <f t="shared" si="13"/>
        <v>84.614</v>
      </c>
      <c r="K53" s="92">
        <f t="shared" si="13"/>
        <v>0</v>
      </c>
      <c r="L53" s="92">
        <f t="shared" si="13"/>
        <v>0</v>
      </c>
      <c r="M53" s="92">
        <f t="shared" si="13"/>
        <v>0</v>
      </c>
      <c r="N53" s="92">
        <f t="shared" si="13"/>
        <v>0</v>
      </c>
      <c r="O53" s="92">
        <f t="shared" si="13"/>
        <v>0</v>
      </c>
      <c r="P53" s="129">
        <f t="shared" si="2"/>
        <v>84.614</v>
      </c>
    </row>
    <row r="54" spans="1:16" ht="24.75" customHeight="1">
      <c r="A54" s="298" t="s">
        <v>74</v>
      </c>
      <c r="B54" s="296" t="s">
        <v>92</v>
      </c>
      <c r="C54" s="156" t="s">
        <v>93</v>
      </c>
      <c r="D54" s="55">
        <v>0</v>
      </c>
      <c r="E54" s="55">
        <v>0</v>
      </c>
      <c r="F54" s="90">
        <v>0</v>
      </c>
      <c r="G54" s="91">
        <v>0</v>
      </c>
      <c r="H54" s="90">
        <v>0</v>
      </c>
      <c r="I54" s="55">
        <f>I55</f>
        <v>84.614</v>
      </c>
      <c r="J54" s="90">
        <f>J55</f>
        <v>84.614</v>
      </c>
      <c r="K54" s="90">
        <v>0</v>
      </c>
      <c r="L54" s="90">
        <v>0</v>
      </c>
      <c r="M54" s="90">
        <v>0</v>
      </c>
      <c r="N54" s="90">
        <v>0</v>
      </c>
      <c r="O54" s="91">
        <v>0</v>
      </c>
      <c r="P54" s="56">
        <f>D54+I54</f>
        <v>84.614</v>
      </c>
    </row>
    <row r="55" spans="1:16" ht="26.25" customHeight="1" thickBot="1">
      <c r="A55" s="299"/>
      <c r="B55" s="297"/>
      <c r="C55" s="157" t="s">
        <v>58</v>
      </c>
      <c r="D55" s="93">
        <v>0</v>
      </c>
      <c r="E55" s="93">
        <v>0</v>
      </c>
      <c r="F55" s="94">
        <v>0</v>
      </c>
      <c r="G55" s="95">
        <v>0</v>
      </c>
      <c r="H55" s="94">
        <v>0</v>
      </c>
      <c r="I55" s="93">
        <v>84.614</v>
      </c>
      <c r="J55" s="94">
        <v>84.614</v>
      </c>
      <c r="K55" s="94">
        <v>0</v>
      </c>
      <c r="L55" s="94">
        <v>0</v>
      </c>
      <c r="M55" s="94">
        <v>0</v>
      </c>
      <c r="N55" s="94">
        <v>0</v>
      </c>
      <c r="O55" s="95">
        <v>0</v>
      </c>
      <c r="P55" s="178">
        <f>D55+I55</f>
        <v>84.614</v>
      </c>
    </row>
    <row r="56" spans="1:16" ht="30" customHeight="1">
      <c r="A56" s="205"/>
      <c r="B56" s="125"/>
      <c r="C56" s="158" t="s">
        <v>140</v>
      </c>
      <c r="D56" s="72">
        <f>D59+D62+D64+D66+D68+D75+D73+D77+D79+D81+D83+D85+D87+D89+D91+D93+D95+D97+D99+D101+D103+D105+D107+D109+D111+D112+D115+D118+D110+D71</f>
        <v>174213.84540000002</v>
      </c>
      <c r="E56" s="72">
        <f aca="true" t="shared" si="14" ref="E56:O56">E59+E62+E64+E66+E68+E75+E73+E77+E79+E81+E83+E85+E87+E89+E91+E93+E95+E97+E99+E101+E103+E105+E107+E109+E111+E112+E115+E118+E110+E71</f>
        <v>174213.84540000002</v>
      </c>
      <c r="F56" s="72">
        <f t="shared" si="14"/>
        <v>5843.398</v>
      </c>
      <c r="G56" s="72">
        <f t="shared" si="14"/>
        <v>790.3109999999999</v>
      </c>
      <c r="H56" s="72">
        <f t="shared" si="14"/>
        <v>0</v>
      </c>
      <c r="I56" s="72">
        <f t="shared" si="14"/>
        <v>200.327</v>
      </c>
      <c r="J56" s="72">
        <f t="shared" si="14"/>
        <v>49.827</v>
      </c>
      <c r="K56" s="72">
        <f t="shared" si="14"/>
        <v>28.038</v>
      </c>
      <c r="L56" s="72">
        <f t="shared" si="14"/>
        <v>0</v>
      </c>
      <c r="M56" s="72">
        <f t="shared" si="14"/>
        <v>150.5</v>
      </c>
      <c r="N56" s="72">
        <f t="shared" si="14"/>
        <v>150.5</v>
      </c>
      <c r="O56" s="73">
        <f t="shared" si="14"/>
        <v>31.5</v>
      </c>
      <c r="P56" s="74">
        <f>D56+I56</f>
        <v>174414.1724</v>
      </c>
    </row>
    <row r="57" spans="1:16" ht="19.5" customHeight="1">
      <c r="A57" s="206"/>
      <c r="B57" s="123"/>
      <c r="C57" s="159" t="s">
        <v>136</v>
      </c>
      <c r="D57" s="29"/>
      <c r="E57" s="29"/>
      <c r="F57" s="29"/>
      <c r="G57" s="53"/>
      <c r="H57" s="30"/>
      <c r="I57" s="29"/>
      <c r="J57" s="29"/>
      <c r="K57" s="29"/>
      <c r="L57" s="29"/>
      <c r="M57" s="29"/>
      <c r="N57" s="29"/>
      <c r="O57" s="53"/>
      <c r="P57" s="32"/>
    </row>
    <row r="58" spans="1:16" ht="29.25" customHeight="1">
      <c r="A58" s="134" t="s">
        <v>87</v>
      </c>
      <c r="B58" s="135"/>
      <c r="C58" s="160" t="s">
        <v>81</v>
      </c>
      <c r="D58" s="29">
        <f>D59</f>
        <v>5878.436</v>
      </c>
      <c r="E58" s="29">
        <f>E59</f>
        <v>5878.436</v>
      </c>
      <c r="F58" s="30">
        <f>F59</f>
        <v>3211.1519999999996</v>
      </c>
      <c r="G58" s="31">
        <f>G59</f>
        <v>551.771</v>
      </c>
      <c r="H58" s="30">
        <v>0</v>
      </c>
      <c r="I58" s="29">
        <v>0</v>
      </c>
      <c r="J58" s="30">
        <v>0</v>
      </c>
      <c r="K58" s="30">
        <v>0</v>
      </c>
      <c r="L58" s="30">
        <v>0</v>
      </c>
      <c r="M58" s="30">
        <v>0</v>
      </c>
      <c r="N58" s="30">
        <v>0</v>
      </c>
      <c r="O58" s="31">
        <v>0</v>
      </c>
      <c r="P58" s="32">
        <f>D58+I58</f>
        <v>5878.436</v>
      </c>
    </row>
    <row r="59" spans="1:16" ht="25.5" customHeight="1">
      <c r="A59" s="262" t="s">
        <v>15</v>
      </c>
      <c r="B59" s="59" t="s">
        <v>83</v>
      </c>
      <c r="C59" s="251" t="s">
        <v>82</v>
      </c>
      <c r="D59" s="29">
        <f>5525.982+370.572+39.425+14.311+76.183+39.383+12.098+2.495-296.958+94.945</f>
        <v>5878.436</v>
      </c>
      <c r="E59" s="29">
        <f>5525.982+370.572+39.425+14.311+76.183+39.383+12.098+2.495-296.958+94.945</f>
        <v>5878.436</v>
      </c>
      <c r="F59" s="30">
        <f>3118.377+227.034+39.425+55.894+28.894+12.098-270.57</f>
        <v>3211.1519999999996</v>
      </c>
      <c r="G59" s="31">
        <v>551.771</v>
      </c>
      <c r="H59" s="30">
        <v>0</v>
      </c>
      <c r="I59" s="29">
        <f>J59+M59</f>
        <v>119</v>
      </c>
      <c r="J59" s="30">
        <v>0</v>
      </c>
      <c r="K59" s="30">
        <v>0</v>
      </c>
      <c r="L59" s="30">
        <v>0</v>
      </c>
      <c r="M59" s="30">
        <f>119+24.945-24.945</f>
        <v>119</v>
      </c>
      <c r="N59" s="30">
        <f>119+24.945-24.945</f>
        <v>119</v>
      </c>
      <c r="O59" s="31">
        <f>24.945-24.945</f>
        <v>0</v>
      </c>
      <c r="P59" s="32">
        <f>D59+I59</f>
        <v>5997.436</v>
      </c>
    </row>
    <row r="60" spans="1:16" ht="25.5" customHeight="1">
      <c r="A60" s="306"/>
      <c r="B60" s="59"/>
      <c r="C60" s="248" t="s">
        <v>58</v>
      </c>
      <c r="D60" s="29">
        <v>0</v>
      </c>
      <c r="E60" s="29">
        <v>0</v>
      </c>
      <c r="F60" s="30">
        <v>0</v>
      </c>
      <c r="G60" s="31">
        <v>0</v>
      </c>
      <c r="H60" s="30">
        <v>0</v>
      </c>
      <c r="I60" s="29">
        <v>119</v>
      </c>
      <c r="J60" s="30">
        <v>0</v>
      </c>
      <c r="K60" s="30">
        <v>0</v>
      </c>
      <c r="L60" s="30">
        <v>0</v>
      </c>
      <c r="M60" s="30">
        <v>119</v>
      </c>
      <c r="N60" s="30">
        <v>119</v>
      </c>
      <c r="O60" s="31">
        <v>0</v>
      </c>
      <c r="P60" s="32">
        <f>D60+I60</f>
        <v>119</v>
      </c>
    </row>
    <row r="61" spans="1:16" ht="24.75" customHeight="1">
      <c r="A61" s="102" t="s">
        <v>144</v>
      </c>
      <c r="B61" s="60"/>
      <c r="C61" s="161" t="s">
        <v>145</v>
      </c>
      <c r="D61" s="29">
        <f>D62+D64+D66+D68+D71+D73+D75+D77+D79+D81+D83+D85+D87+D89+D91+D93+D95+D97+D99+D101+D103+D105+D107+D109+D110+D111+D112</f>
        <v>167173.3354</v>
      </c>
      <c r="E61" s="29">
        <f>E62+E64+E66+E68+E71+E73+E75+E77+E79+E81+E83+E85+E87+E89+E91+E93+E95+E97+E99+E101+E103+E105+E107+E109+E110+E111+E112</f>
        <v>167173.3354</v>
      </c>
      <c r="F61" s="29">
        <f aca="true" t="shared" si="15" ref="F61:O61">F62+F64+F66+F68+F71+F73+F75+F77+F79+F81+F83+F85+F87+F89+F91+F93+F95+F97+F99+F101+F103+F105+F107+F109+F110+F111+F112</f>
        <v>2573.552</v>
      </c>
      <c r="G61" s="29">
        <f t="shared" si="15"/>
        <v>238.54</v>
      </c>
      <c r="H61" s="29">
        <f t="shared" si="15"/>
        <v>0</v>
      </c>
      <c r="I61" s="29">
        <f t="shared" si="15"/>
        <v>81.327</v>
      </c>
      <c r="J61" s="29">
        <f t="shared" si="15"/>
        <v>49.827</v>
      </c>
      <c r="K61" s="29">
        <f t="shared" si="15"/>
        <v>28.038</v>
      </c>
      <c r="L61" s="29">
        <f t="shared" si="15"/>
        <v>0</v>
      </c>
      <c r="M61" s="29">
        <f t="shared" si="15"/>
        <v>31.5</v>
      </c>
      <c r="N61" s="29">
        <f t="shared" si="15"/>
        <v>31.5</v>
      </c>
      <c r="O61" s="53">
        <f t="shared" si="15"/>
        <v>31.5</v>
      </c>
      <c r="P61" s="32">
        <f>D61+I61</f>
        <v>167254.6624</v>
      </c>
    </row>
    <row r="62" spans="1:16" ht="117" customHeight="1">
      <c r="A62" s="103" t="s">
        <v>18</v>
      </c>
      <c r="B62" s="59" t="s">
        <v>94</v>
      </c>
      <c r="C62" s="176" t="s">
        <v>95</v>
      </c>
      <c r="D62" s="29">
        <f>D63</f>
        <v>14127.476</v>
      </c>
      <c r="E62" s="29">
        <f>E63</f>
        <v>14127.476</v>
      </c>
      <c r="F62" s="30">
        <v>0</v>
      </c>
      <c r="G62" s="31">
        <v>0</v>
      </c>
      <c r="H62" s="30">
        <v>0</v>
      </c>
      <c r="I62" s="29">
        <f>I63</f>
        <v>0</v>
      </c>
      <c r="J62" s="30">
        <v>0</v>
      </c>
      <c r="K62" s="30">
        <v>0</v>
      </c>
      <c r="L62" s="30">
        <v>0</v>
      </c>
      <c r="M62" s="30">
        <v>0</v>
      </c>
      <c r="N62" s="30">
        <v>0</v>
      </c>
      <c r="O62" s="31">
        <v>0</v>
      </c>
      <c r="P62" s="32">
        <f aca="true" t="shared" si="16" ref="P62:P68">D62+I62</f>
        <v>14127.476</v>
      </c>
    </row>
    <row r="63" spans="1:16" ht="72" customHeight="1">
      <c r="A63" s="103"/>
      <c r="B63" s="59"/>
      <c r="C63" s="162" t="s">
        <v>163</v>
      </c>
      <c r="D63" s="33">
        <v>14127.476</v>
      </c>
      <c r="E63" s="33">
        <v>14127.476</v>
      </c>
      <c r="F63" s="34">
        <v>0</v>
      </c>
      <c r="G63" s="35">
        <v>0</v>
      </c>
      <c r="H63" s="34">
        <v>0</v>
      </c>
      <c r="I63" s="33">
        <v>0</v>
      </c>
      <c r="J63" s="34">
        <v>0</v>
      </c>
      <c r="K63" s="34">
        <v>0</v>
      </c>
      <c r="L63" s="34">
        <v>0</v>
      </c>
      <c r="M63" s="34">
        <v>0</v>
      </c>
      <c r="N63" s="34">
        <v>0</v>
      </c>
      <c r="O63" s="35">
        <v>0</v>
      </c>
      <c r="P63" s="32">
        <f t="shared" si="16"/>
        <v>14127.476</v>
      </c>
    </row>
    <row r="64" spans="1:16" ht="120" customHeight="1" thickBot="1">
      <c r="A64" s="148" t="s">
        <v>19</v>
      </c>
      <c r="B64" s="127" t="s">
        <v>94</v>
      </c>
      <c r="C64" s="207" t="s">
        <v>96</v>
      </c>
      <c r="D64" s="38">
        <f>D65</f>
        <v>1.22</v>
      </c>
      <c r="E64" s="37">
        <f>E65</f>
        <v>1.22</v>
      </c>
      <c r="F64" s="38">
        <v>0</v>
      </c>
      <c r="G64" s="39">
        <v>0</v>
      </c>
      <c r="H64" s="38">
        <v>0</v>
      </c>
      <c r="I64" s="37">
        <f>I65</f>
        <v>0</v>
      </c>
      <c r="J64" s="38">
        <v>0</v>
      </c>
      <c r="K64" s="38">
        <v>0</v>
      </c>
      <c r="L64" s="38">
        <v>0</v>
      </c>
      <c r="M64" s="38">
        <v>0</v>
      </c>
      <c r="N64" s="38">
        <v>0</v>
      </c>
      <c r="O64" s="39">
        <v>0</v>
      </c>
      <c r="P64" s="40">
        <f t="shared" si="16"/>
        <v>1.22</v>
      </c>
    </row>
    <row r="65" spans="1:16" ht="58.5" customHeight="1">
      <c r="A65" s="149"/>
      <c r="B65" s="83"/>
      <c r="C65" s="168" t="s">
        <v>97</v>
      </c>
      <c r="D65" s="72">
        <f>1.28-0.5+0.63004-0.19004</f>
        <v>1.22</v>
      </c>
      <c r="E65" s="72">
        <f>1.28-0.5+0.63004-0.19004</f>
        <v>1.22</v>
      </c>
      <c r="F65" s="75">
        <v>0</v>
      </c>
      <c r="G65" s="75">
        <v>0</v>
      </c>
      <c r="H65" s="75">
        <v>0</v>
      </c>
      <c r="I65" s="75">
        <v>0</v>
      </c>
      <c r="J65" s="75">
        <v>0</v>
      </c>
      <c r="K65" s="75">
        <v>0</v>
      </c>
      <c r="L65" s="75">
        <v>0</v>
      </c>
      <c r="M65" s="75">
        <v>0</v>
      </c>
      <c r="N65" s="75">
        <v>0</v>
      </c>
      <c r="O65" s="76">
        <v>0</v>
      </c>
      <c r="P65" s="74">
        <f t="shared" si="16"/>
        <v>1.22</v>
      </c>
    </row>
    <row r="66" spans="1:16" ht="117" customHeight="1">
      <c r="A66" s="103" t="s">
        <v>20</v>
      </c>
      <c r="B66" s="59" t="s">
        <v>94</v>
      </c>
      <c r="C66" s="176" t="s">
        <v>98</v>
      </c>
      <c r="D66" s="29">
        <f>D67</f>
        <v>101.764</v>
      </c>
      <c r="E66" s="30">
        <f>E67</f>
        <v>101.764</v>
      </c>
      <c r="F66" s="30">
        <v>0</v>
      </c>
      <c r="G66" s="30">
        <v>0</v>
      </c>
      <c r="H66" s="30">
        <v>0</v>
      </c>
      <c r="I66" s="30">
        <f>I67</f>
        <v>0</v>
      </c>
      <c r="J66" s="30">
        <v>0</v>
      </c>
      <c r="K66" s="30">
        <v>0</v>
      </c>
      <c r="L66" s="30">
        <v>0</v>
      </c>
      <c r="M66" s="30">
        <v>0</v>
      </c>
      <c r="N66" s="30">
        <v>0</v>
      </c>
      <c r="O66" s="31">
        <v>0</v>
      </c>
      <c r="P66" s="62">
        <f t="shared" si="16"/>
        <v>101.764</v>
      </c>
    </row>
    <row r="67" spans="1:16" ht="149.25" customHeight="1" thickBot="1">
      <c r="A67" s="104"/>
      <c r="B67" s="126"/>
      <c r="C67" s="163" t="s">
        <v>99</v>
      </c>
      <c r="D67" s="19">
        <v>101.764</v>
      </c>
      <c r="E67" s="19">
        <v>101.764</v>
      </c>
      <c r="F67" s="41">
        <v>0</v>
      </c>
      <c r="G67" s="42">
        <v>0</v>
      </c>
      <c r="H67" s="41">
        <v>0</v>
      </c>
      <c r="I67" s="19">
        <v>0</v>
      </c>
      <c r="J67" s="41">
        <v>0</v>
      </c>
      <c r="K67" s="41">
        <v>0</v>
      </c>
      <c r="L67" s="41">
        <v>0</v>
      </c>
      <c r="M67" s="41">
        <v>0</v>
      </c>
      <c r="N67" s="41">
        <v>0</v>
      </c>
      <c r="O67" s="42">
        <v>0</v>
      </c>
      <c r="P67" s="24">
        <f t="shared" si="16"/>
        <v>101.764</v>
      </c>
    </row>
    <row r="68" spans="1:16" ht="202.5" customHeight="1" thickBot="1">
      <c r="A68" s="179" t="s">
        <v>21</v>
      </c>
      <c r="B68" s="127" t="s">
        <v>94</v>
      </c>
      <c r="C68" s="180" t="s">
        <v>161</v>
      </c>
      <c r="D68" s="63">
        <f>D70</f>
        <v>2991.20708</v>
      </c>
      <c r="E68" s="63">
        <f>E70</f>
        <v>2991.20708</v>
      </c>
      <c r="F68" s="64">
        <v>0</v>
      </c>
      <c r="G68" s="65">
        <v>0</v>
      </c>
      <c r="H68" s="64">
        <v>0</v>
      </c>
      <c r="I68" s="63">
        <f>I70</f>
        <v>0</v>
      </c>
      <c r="J68" s="64">
        <v>0</v>
      </c>
      <c r="K68" s="64">
        <v>0</v>
      </c>
      <c r="L68" s="64">
        <v>0</v>
      </c>
      <c r="M68" s="64">
        <v>0</v>
      </c>
      <c r="N68" s="64">
        <v>0</v>
      </c>
      <c r="O68" s="65">
        <v>0</v>
      </c>
      <c r="P68" s="66">
        <f t="shared" si="16"/>
        <v>2991.20708</v>
      </c>
    </row>
    <row r="69" spans="1:16" ht="156.75" customHeight="1">
      <c r="A69" s="105"/>
      <c r="B69" s="125"/>
      <c r="C69" s="164" t="s">
        <v>167</v>
      </c>
      <c r="D69" s="77"/>
      <c r="E69" s="77"/>
      <c r="F69" s="78"/>
      <c r="G69" s="79"/>
      <c r="H69" s="78"/>
      <c r="I69" s="77"/>
      <c r="J69" s="78"/>
      <c r="K69" s="78"/>
      <c r="L69" s="78"/>
      <c r="M69" s="78"/>
      <c r="N69" s="78"/>
      <c r="O69" s="79"/>
      <c r="P69" s="80"/>
    </row>
    <row r="70" spans="1:16" ht="73.5" customHeight="1">
      <c r="A70" s="106"/>
      <c r="B70" s="123"/>
      <c r="C70" s="165" t="s">
        <v>162</v>
      </c>
      <c r="D70" s="29">
        <v>2991.20708</v>
      </c>
      <c r="E70" s="29">
        <v>2991.20708</v>
      </c>
      <c r="F70" s="30">
        <v>0</v>
      </c>
      <c r="G70" s="31">
        <v>0</v>
      </c>
      <c r="H70" s="30">
        <v>0</v>
      </c>
      <c r="I70" s="29">
        <v>0</v>
      </c>
      <c r="J70" s="30">
        <v>0</v>
      </c>
      <c r="K70" s="30">
        <v>0</v>
      </c>
      <c r="L70" s="30">
        <v>0</v>
      </c>
      <c r="M70" s="30">
        <v>0</v>
      </c>
      <c r="N70" s="30">
        <v>0</v>
      </c>
      <c r="O70" s="31">
        <v>0</v>
      </c>
      <c r="P70" s="32">
        <f aca="true" t="shared" si="17" ref="P70:P104">D70+I70</f>
        <v>2991.20708</v>
      </c>
    </row>
    <row r="71" spans="1:16" ht="76.5" customHeight="1" thickBot="1">
      <c r="A71" s="107" t="s">
        <v>22</v>
      </c>
      <c r="B71" s="177" t="s">
        <v>101</v>
      </c>
      <c r="C71" s="229" t="s">
        <v>100</v>
      </c>
      <c r="D71" s="29">
        <f>D72</f>
        <v>1000.20019</v>
      </c>
      <c r="E71" s="19">
        <f>E72</f>
        <v>1000.20019</v>
      </c>
      <c r="F71" s="41">
        <v>0</v>
      </c>
      <c r="G71" s="42">
        <v>0</v>
      </c>
      <c r="H71" s="41">
        <v>0</v>
      </c>
      <c r="I71" s="19">
        <f>I72</f>
        <v>0</v>
      </c>
      <c r="J71" s="41">
        <v>0</v>
      </c>
      <c r="K71" s="41">
        <v>0</v>
      </c>
      <c r="L71" s="41">
        <v>0</v>
      </c>
      <c r="M71" s="41">
        <v>0</v>
      </c>
      <c r="N71" s="41">
        <v>0</v>
      </c>
      <c r="O71" s="42">
        <v>0</v>
      </c>
      <c r="P71" s="24">
        <f t="shared" si="17"/>
        <v>1000.20019</v>
      </c>
    </row>
    <row r="72" spans="1:16" ht="79.5" customHeight="1">
      <c r="A72" s="103"/>
      <c r="B72" s="123"/>
      <c r="C72" s="165" t="s">
        <v>162</v>
      </c>
      <c r="D72" s="29">
        <v>1000.20019</v>
      </c>
      <c r="E72" s="29">
        <v>1000.20019</v>
      </c>
      <c r="F72" s="30">
        <v>0</v>
      </c>
      <c r="G72" s="31">
        <v>0</v>
      </c>
      <c r="H72" s="30">
        <v>0</v>
      </c>
      <c r="I72" s="29">
        <v>0</v>
      </c>
      <c r="J72" s="30">
        <v>0</v>
      </c>
      <c r="K72" s="30">
        <v>0</v>
      </c>
      <c r="L72" s="30">
        <v>0</v>
      </c>
      <c r="M72" s="30">
        <v>0</v>
      </c>
      <c r="N72" s="30">
        <v>0</v>
      </c>
      <c r="O72" s="31">
        <v>0</v>
      </c>
      <c r="P72" s="69">
        <f t="shared" si="17"/>
        <v>1000.20019</v>
      </c>
    </row>
    <row r="73" spans="1:16" ht="57" customHeight="1" thickBot="1">
      <c r="A73" s="194" t="s">
        <v>23</v>
      </c>
      <c r="B73" s="195" t="s">
        <v>101</v>
      </c>
      <c r="C73" s="252" t="s">
        <v>102</v>
      </c>
      <c r="D73" s="216">
        <f>D74</f>
        <v>7.27887</v>
      </c>
      <c r="E73" s="216">
        <f>E74</f>
        <v>7.27887</v>
      </c>
      <c r="F73" s="217">
        <v>0</v>
      </c>
      <c r="G73" s="218">
        <v>0</v>
      </c>
      <c r="H73" s="217">
        <v>0</v>
      </c>
      <c r="I73" s="216">
        <f>I74</f>
        <v>0</v>
      </c>
      <c r="J73" s="217">
        <v>0</v>
      </c>
      <c r="K73" s="217">
        <v>0</v>
      </c>
      <c r="L73" s="217">
        <v>0</v>
      </c>
      <c r="M73" s="217">
        <v>0</v>
      </c>
      <c r="N73" s="217">
        <v>0</v>
      </c>
      <c r="O73" s="218">
        <v>0</v>
      </c>
      <c r="P73" s="40">
        <f t="shared" si="17"/>
        <v>7.27887</v>
      </c>
    </row>
    <row r="74" spans="1:16" ht="156.75" customHeight="1">
      <c r="A74" s="149"/>
      <c r="B74" s="125"/>
      <c r="C74" s="168" t="s">
        <v>99</v>
      </c>
      <c r="D74" s="72">
        <v>7.27887</v>
      </c>
      <c r="E74" s="75">
        <v>7.27887</v>
      </c>
      <c r="F74" s="75">
        <v>0</v>
      </c>
      <c r="G74" s="75">
        <v>0</v>
      </c>
      <c r="H74" s="75">
        <v>0</v>
      </c>
      <c r="I74" s="75">
        <v>0</v>
      </c>
      <c r="J74" s="75">
        <v>0</v>
      </c>
      <c r="K74" s="75">
        <v>0</v>
      </c>
      <c r="L74" s="75">
        <v>0</v>
      </c>
      <c r="M74" s="75">
        <v>0</v>
      </c>
      <c r="N74" s="75">
        <v>0</v>
      </c>
      <c r="O74" s="76">
        <v>0</v>
      </c>
      <c r="P74" s="74">
        <f t="shared" si="17"/>
        <v>7.27887</v>
      </c>
    </row>
    <row r="75" spans="1:16" ht="40.5" customHeight="1" thickBot="1">
      <c r="A75" s="103" t="s">
        <v>24</v>
      </c>
      <c r="B75" s="59" t="s">
        <v>101</v>
      </c>
      <c r="C75" s="182" t="s">
        <v>103</v>
      </c>
      <c r="D75" s="29">
        <f>D76</f>
        <v>910.11158</v>
      </c>
      <c r="E75" s="29">
        <f>E76</f>
        <v>910.11158</v>
      </c>
      <c r="F75" s="30">
        <v>0</v>
      </c>
      <c r="G75" s="31">
        <v>0</v>
      </c>
      <c r="H75" s="30">
        <v>0</v>
      </c>
      <c r="I75" s="29">
        <f>I76</f>
        <v>0</v>
      </c>
      <c r="J75" s="30">
        <v>0</v>
      </c>
      <c r="K75" s="30">
        <v>0</v>
      </c>
      <c r="L75" s="30">
        <v>0</v>
      </c>
      <c r="M75" s="30">
        <v>0</v>
      </c>
      <c r="N75" s="30">
        <v>0</v>
      </c>
      <c r="O75" s="31">
        <v>0</v>
      </c>
      <c r="P75" s="32">
        <f t="shared" si="17"/>
        <v>910.11158</v>
      </c>
    </row>
    <row r="76" spans="1:16" ht="155.25" customHeight="1">
      <c r="A76" s="103"/>
      <c r="B76" s="123"/>
      <c r="C76" s="166" t="s">
        <v>99</v>
      </c>
      <c r="D76" s="29">
        <v>910.11158</v>
      </c>
      <c r="E76" s="29">
        <v>910.11158</v>
      </c>
      <c r="F76" s="30">
        <v>0</v>
      </c>
      <c r="G76" s="31">
        <v>0</v>
      </c>
      <c r="H76" s="30">
        <v>0</v>
      </c>
      <c r="I76" s="29">
        <v>0</v>
      </c>
      <c r="J76" s="30">
        <v>0</v>
      </c>
      <c r="K76" s="30">
        <v>0</v>
      </c>
      <c r="L76" s="30">
        <v>0</v>
      </c>
      <c r="M76" s="30">
        <v>0</v>
      </c>
      <c r="N76" s="30">
        <v>0</v>
      </c>
      <c r="O76" s="31">
        <v>0</v>
      </c>
      <c r="P76" s="62">
        <f t="shared" si="17"/>
        <v>910.11158</v>
      </c>
    </row>
    <row r="77" spans="1:16" ht="72" customHeight="1">
      <c r="A77" s="103" t="s">
        <v>25</v>
      </c>
      <c r="B77" s="59" t="s">
        <v>101</v>
      </c>
      <c r="C77" s="183" t="s">
        <v>56</v>
      </c>
      <c r="D77" s="29">
        <f>D78</f>
        <v>1264.28315</v>
      </c>
      <c r="E77" s="29">
        <f>E78</f>
        <v>1264.28315</v>
      </c>
      <c r="F77" s="30">
        <v>0</v>
      </c>
      <c r="G77" s="31">
        <v>0</v>
      </c>
      <c r="H77" s="30">
        <v>0</v>
      </c>
      <c r="I77" s="29">
        <f>I78</f>
        <v>0</v>
      </c>
      <c r="J77" s="30">
        <v>0</v>
      </c>
      <c r="K77" s="30">
        <v>0</v>
      </c>
      <c r="L77" s="30">
        <v>0</v>
      </c>
      <c r="M77" s="30">
        <v>0</v>
      </c>
      <c r="N77" s="30">
        <v>0</v>
      </c>
      <c r="O77" s="31">
        <v>0</v>
      </c>
      <c r="P77" s="32">
        <f t="shared" si="17"/>
        <v>1264.28315</v>
      </c>
    </row>
    <row r="78" spans="1:16" ht="83.25" customHeight="1">
      <c r="A78" s="103"/>
      <c r="B78" s="123"/>
      <c r="C78" s="162" t="s">
        <v>163</v>
      </c>
      <c r="D78" s="29">
        <v>1264.28315</v>
      </c>
      <c r="E78" s="29">
        <v>1264.28315</v>
      </c>
      <c r="F78" s="30">
        <v>0</v>
      </c>
      <c r="G78" s="31">
        <v>0</v>
      </c>
      <c r="H78" s="30">
        <v>0</v>
      </c>
      <c r="I78" s="29">
        <v>0</v>
      </c>
      <c r="J78" s="30">
        <v>0</v>
      </c>
      <c r="K78" s="30">
        <v>0</v>
      </c>
      <c r="L78" s="30">
        <v>0</v>
      </c>
      <c r="M78" s="30">
        <v>0</v>
      </c>
      <c r="N78" s="30">
        <v>0</v>
      </c>
      <c r="O78" s="31">
        <v>0</v>
      </c>
      <c r="P78" s="32">
        <f t="shared" si="17"/>
        <v>1264.28315</v>
      </c>
    </row>
    <row r="79" spans="1:16" ht="74.25" customHeight="1" thickBot="1">
      <c r="A79" s="148" t="s">
        <v>26</v>
      </c>
      <c r="B79" s="127" t="s">
        <v>101</v>
      </c>
      <c r="C79" s="167" t="s">
        <v>57</v>
      </c>
      <c r="D79" s="37">
        <f>D80</f>
        <v>-8.326672684688674E-17</v>
      </c>
      <c r="E79" s="37">
        <f>E80</f>
        <v>-8.326672684688674E-17</v>
      </c>
      <c r="F79" s="38">
        <v>0</v>
      </c>
      <c r="G79" s="39">
        <v>0</v>
      </c>
      <c r="H79" s="38">
        <v>0</v>
      </c>
      <c r="I79" s="37">
        <f>I80</f>
        <v>0</v>
      </c>
      <c r="J79" s="38">
        <v>0</v>
      </c>
      <c r="K79" s="38">
        <v>0</v>
      </c>
      <c r="L79" s="38">
        <v>0</v>
      </c>
      <c r="M79" s="38">
        <v>0</v>
      </c>
      <c r="N79" s="38">
        <v>0</v>
      </c>
      <c r="O79" s="39">
        <v>0</v>
      </c>
      <c r="P79" s="40">
        <f t="shared" si="17"/>
        <v>-8.326672684688674E-17</v>
      </c>
    </row>
    <row r="80" spans="1:16" ht="67.5" customHeight="1">
      <c r="A80" s="149"/>
      <c r="B80" s="83"/>
      <c r="C80" s="168" t="s">
        <v>97</v>
      </c>
      <c r="D80" s="72">
        <f>0.592-0.562-0.03</f>
        <v>-8.326672684688674E-17</v>
      </c>
      <c r="E80" s="72">
        <f>0.592-0.562-0.03</f>
        <v>-8.326672684688674E-17</v>
      </c>
      <c r="F80" s="75">
        <v>0</v>
      </c>
      <c r="G80" s="76">
        <v>0</v>
      </c>
      <c r="H80" s="75">
        <v>0</v>
      </c>
      <c r="I80" s="72">
        <v>0</v>
      </c>
      <c r="J80" s="75">
        <v>0</v>
      </c>
      <c r="K80" s="75">
        <v>0</v>
      </c>
      <c r="L80" s="75">
        <v>0</v>
      </c>
      <c r="M80" s="75">
        <v>0</v>
      </c>
      <c r="N80" s="75">
        <v>0</v>
      </c>
      <c r="O80" s="76">
        <v>0</v>
      </c>
      <c r="P80" s="74">
        <f t="shared" si="17"/>
        <v>-8.326672684688674E-17</v>
      </c>
    </row>
    <row r="81" spans="1:16" ht="42" customHeight="1">
      <c r="A81" s="103" t="s">
        <v>27</v>
      </c>
      <c r="B81" s="59" t="s">
        <v>84</v>
      </c>
      <c r="C81" s="182" t="s">
        <v>168</v>
      </c>
      <c r="D81" s="29">
        <f>D82</f>
        <v>965.22441</v>
      </c>
      <c r="E81" s="29">
        <f>E82</f>
        <v>965.22441</v>
      </c>
      <c r="F81" s="30">
        <v>0</v>
      </c>
      <c r="G81" s="31">
        <v>0</v>
      </c>
      <c r="H81" s="30">
        <v>0</v>
      </c>
      <c r="I81" s="29">
        <f>I82</f>
        <v>0</v>
      </c>
      <c r="J81" s="30">
        <v>0</v>
      </c>
      <c r="K81" s="30">
        <v>0</v>
      </c>
      <c r="L81" s="30">
        <v>0</v>
      </c>
      <c r="M81" s="30">
        <v>0</v>
      </c>
      <c r="N81" s="30">
        <v>0</v>
      </c>
      <c r="O81" s="31">
        <v>0</v>
      </c>
      <c r="P81" s="32">
        <f t="shared" si="17"/>
        <v>965.22441</v>
      </c>
    </row>
    <row r="82" spans="1:16" ht="71.25" customHeight="1">
      <c r="A82" s="103"/>
      <c r="B82" s="123"/>
      <c r="C82" s="169" t="s">
        <v>164</v>
      </c>
      <c r="D82" s="29">
        <v>965.22441</v>
      </c>
      <c r="E82" s="29">
        <v>965.22441</v>
      </c>
      <c r="F82" s="30">
        <v>0</v>
      </c>
      <c r="G82" s="31">
        <v>0</v>
      </c>
      <c r="H82" s="30">
        <v>0</v>
      </c>
      <c r="I82" s="29">
        <v>0</v>
      </c>
      <c r="J82" s="30">
        <v>0</v>
      </c>
      <c r="K82" s="30">
        <v>0</v>
      </c>
      <c r="L82" s="30">
        <v>0</v>
      </c>
      <c r="M82" s="30">
        <v>0</v>
      </c>
      <c r="N82" s="30">
        <v>0</v>
      </c>
      <c r="O82" s="31">
        <v>0</v>
      </c>
      <c r="P82" s="32">
        <f t="shared" si="17"/>
        <v>965.22441</v>
      </c>
    </row>
    <row r="83" spans="1:16" ht="27" customHeight="1">
      <c r="A83" s="103" t="s">
        <v>28</v>
      </c>
      <c r="B83" s="59" t="s">
        <v>84</v>
      </c>
      <c r="C83" s="182" t="s">
        <v>104</v>
      </c>
      <c r="D83" s="29">
        <f>D84</f>
        <v>1297.55368</v>
      </c>
      <c r="E83" s="29">
        <f>E84</f>
        <v>1297.55368</v>
      </c>
      <c r="F83" s="30">
        <v>0</v>
      </c>
      <c r="G83" s="31">
        <v>0</v>
      </c>
      <c r="H83" s="30">
        <v>0</v>
      </c>
      <c r="I83" s="29">
        <f>I84</f>
        <v>0</v>
      </c>
      <c r="J83" s="30">
        <v>0</v>
      </c>
      <c r="K83" s="30">
        <v>0</v>
      </c>
      <c r="L83" s="30">
        <v>0</v>
      </c>
      <c r="M83" s="30">
        <v>0</v>
      </c>
      <c r="N83" s="30">
        <v>0</v>
      </c>
      <c r="O83" s="31">
        <v>0</v>
      </c>
      <c r="P83" s="32">
        <f t="shared" si="17"/>
        <v>1297.55368</v>
      </c>
    </row>
    <row r="84" spans="1:16" ht="70.5" customHeight="1">
      <c r="A84" s="103"/>
      <c r="B84" s="123"/>
      <c r="C84" s="169" t="s">
        <v>164</v>
      </c>
      <c r="D84" s="29">
        <v>1297.55368</v>
      </c>
      <c r="E84" s="29">
        <v>1297.55368</v>
      </c>
      <c r="F84" s="30">
        <v>0</v>
      </c>
      <c r="G84" s="31">
        <v>0</v>
      </c>
      <c r="H84" s="30">
        <v>0</v>
      </c>
      <c r="I84" s="29">
        <v>0</v>
      </c>
      <c r="J84" s="30">
        <v>0</v>
      </c>
      <c r="K84" s="30">
        <v>0</v>
      </c>
      <c r="L84" s="30">
        <v>0</v>
      </c>
      <c r="M84" s="30">
        <v>0</v>
      </c>
      <c r="N84" s="30">
        <v>0</v>
      </c>
      <c r="O84" s="31">
        <v>0</v>
      </c>
      <c r="P84" s="32">
        <f t="shared" si="17"/>
        <v>1297.55368</v>
      </c>
    </row>
    <row r="85" spans="1:16" ht="23.25" customHeight="1">
      <c r="A85" s="103" t="s">
        <v>29</v>
      </c>
      <c r="B85" s="59" t="s">
        <v>84</v>
      </c>
      <c r="C85" s="182" t="s">
        <v>170</v>
      </c>
      <c r="D85" s="29">
        <f>D86</f>
        <v>68140.51383</v>
      </c>
      <c r="E85" s="29">
        <f>E86</f>
        <v>68140.51383</v>
      </c>
      <c r="F85" s="30">
        <v>0</v>
      </c>
      <c r="G85" s="31">
        <v>0</v>
      </c>
      <c r="H85" s="30">
        <v>0</v>
      </c>
      <c r="I85" s="29">
        <f>I86</f>
        <v>0</v>
      </c>
      <c r="J85" s="30">
        <v>0</v>
      </c>
      <c r="K85" s="30">
        <v>0</v>
      </c>
      <c r="L85" s="30">
        <v>0</v>
      </c>
      <c r="M85" s="30">
        <v>0</v>
      </c>
      <c r="N85" s="30">
        <v>0</v>
      </c>
      <c r="O85" s="31">
        <v>0</v>
      </c>
      <c r="P85" s="32">
        <f t="shared" si="17"/>
        <v>68140.51383</v>
      </c>
    </row>
    <row r="86" spans="1:16" ht="69.75" customHeight="1" thickBot="1">
      <c r="A86" s="148"/>
      <c r="B86" s="150"/>
      <c r="C86" s="170" t="s">
        <v>164</v>
      </c>
      <c r="D86" s="37">
        <v>68140.51383</v>
      </c>
      <c r="E86" s="37">
        <v>68140.51383</v>
      </c>
      <c r="F86" s="38">
        <v>0</v>
      </c>
      <c r="G86" s="39">
        <v>0</v>
      </c>
      <c r="H86" s="38">
        <v>0</v>
      </c>
      <c r="I86" s="37">
        <v>0</v>
      </c>
      <c r="J86" s="38">
        <v>0</v>
      </c>
      <c r="K86" s="38">
        <v>0</v>
      </c>
      <c r="L86" s="38">
        <v>0</v>
      </c>
      <c r="M86" s="38">
        <v>0</v>
      </c>
      <c r="N86" s="38">
        <v>0</v>
      </c>
      <c r="O86" s="39">
        <v>0</v>
      </c>
      <c r="P86" s="40">
        <f t="shared" si="17"/>
        <v>68140.51383</v>
      </c>
    </row>
    <row r="87" spans="1:16" ht="26.25" customHeight="1" thickBot="1">
      <c r="A87" s="308" t="s">
        <v>30</v>
      </c>
      <c r="B87" s="309" t="s">
        <v>84</v>
      </c>
      <c r="C87" s="225" t="s">
        <v>169</v>
      </c>
      <c r="D87" s="63">
        <f>D88</f>
        <v>4347.39849</v>
      </c>
      <c r="E87" s="63">
        <f>E88</f>
        <v>4347.39849</v>
      </c>
      <c r="F87" s="64">
        <v>0</v>
      </c>
      <c r="G87" s="65">
        <v>0</v>
      </c>
      <c r="H87" s="64">
        <v>0</v>
      </c>
      <c r="I87" s="63">
        <f>I88</f>
        <v>0</v>
      </c>
      <c r="J87" s="64">
        <v>0</v>
      </c>
      <c r="K87" s="64">
        <v>0</v>
      </c>
      <c r="L87" s="64">
        <v>0</v>
      </c>
      <c r="M87" s="64">
        <v>0</v>
      </c>
      <c r="N87" s="64">
        <v>0</v>
      </c>
      <c r="O87" s="65">
        <v>0</v>
      </c>
      <c r="P87" s="66">
        <f t="shared" si="17"/>
        <v>4347.39849</v>
      </c>
    </row>
    <row r="88" spans="1:16" ht="75.75" customHeight="1" thickBot="1">
      <c r="A88" s="194"/>
      <c r="B88" s="195"/>
      <c r="C88" s="307" t="s">
        <v>164</v>
      </c>
      <c r="D88" s="216">
        <v>4347.39849</v>
      </c>
      <c r="E88" s="216">
        <v>4347.39849</v>
      </c>
      <c r="F88" s="217">
        <v>0</v>
      </c>
      <c r="G88" s="218">
        <v>0</v>
      </c>
      <c r="H88" s="217">
        <v>0</v>
      </c>
      <c r="I88" s="216">
        <v>0</v>
      </c>
      <c r="J88" s="217">
        <v>0</v>
      </c>
      <c r="K88" s="217">
        <v>0</v>
      </c>
      <c r="L88" s="217">
        <v>0</v>
      </c>
      <c r="M88" s="217">
        <v>0</v>
      </c>
      <c r="N88" s="217">
        <v>0</v>
      </c>
      <c r="O88" s="218">
        <v>0</v>
      </c>
      <c r="P88" s="24">
        <f t="shared" si="17"/>
        <v>4347.39849</v>
      </c>
    </row>
    <row r="89" spans="1:16" ht="26.25" customHeight="1">
      <c r="A89" s="149" t="s">
        <v>31</v>
      </c>
      <c r="B89" s="83" t="s">
        <v>84</v>
      </c>
      <c r="C89" s="212" t="s">
        <v>171</v>
      </c>
      <c r="D89" s="72">
        <f>D90</f>
        <v>10074.14786</v>
      </c>
      <c r="E89" s="72">
        <f>E90</f>
        <v>10074.14786</v>
      </c>
      <c r="F89" s="75">
        <v>0</v>
      </c>
      <c r="G89" s="76">
        <v>0</v>
      </c>
      <c r="H89" s="75">
        <v>0</v>
      </c>
      <c r="I89" s="72">
        <f>I90</f>
        <v>0</v>
      </c>
      <c r="J89" s="75">
        <v>0</v>
      </c>
      <c r="K89" s="75">
        <v>0</v>
      </c>
      <c r="L89" s="75">
        <v>0</v>
      </c>
      <c r="M89" s="75">
        <v>0</v>
      </c>
      <c r="N89" s="75">
        <v>0</v>
      </c>
      <c r="O89" s="76">
        <v>0</v>
      </c>
      <c r="P89" s="74">
        <f t="shared" si="17"/>
        <v>10074.14786</v>
      </c>
    </row>
    <row r="90" spans="1:16" ht="69" customHeight="1" thickBot="1">
      <c r="A90" s="103"/>
      <c r="B90" s="59"/>
      <c r="C90" s="130" t="s">
        <v>164</v>
      </c>
      <c r="D90" s="29">
        <v>10074.14786</v>
      </c>
      <c r="E90" s="29">
        <v>10074.14786</v>
      </c>
      <c r="F90" s="30">
        <v>0</v>
      </c>
      <c r="G90" s="31">
        <v>0</v>
      </c>
      <c r="H90" s="30">
        <v>0</v>
      </c>
      <c r="I90" s="29">
        <v>0</v>
      </c>
      <c r="J90" s="30">
        <v>0</v>
      </c>
      <c r="K90" s="30">
        <v>0</v>
      </c>
      <c r="L90" s="30">
        <v>0</v>
      </c>
      <c r="M90" s="30">
        <v>0</v>
      </c>
      <c r="N90" s="30">
        <v>0</v>
      </c>
      <c r="O90" s="31">
        <v>0</v>
      </c>
      <c r="P90" s="32">
        <f t="shared" si="17"/>
        <v>10074.14786</v>
      </c>
    </row>
    <row r="91" spans="1:17" ht="21.75" customHeight="1">
      <c r="A91" s="103" t="s">
        <v>32</v>
      </c>
      <c r="B91" s="59" t="s">
        <v>84</v>
      </c>
      <c r="C91" s="184" t="s">
        <v>172</v>
      </c>
      <c r="D91" s="29">
        <f>D92</f>
        <v>1090.62797</v>
      </c>
      <c r="E91" s="29">
        <f>E92</f>
        <v>1090.62797</v>
      </c>
      <c r="F91" s="30">
        <v>0</v>
      </c>
      <c r="G91" s="31">
        <v>0</v>
      </c>
      <c r="H91" s="30">
        <v>0</v>
      </c>
      <c r="I91" s="29">
        <f>I92</f>
        <v>0</v>
      </c>
      <c r="J91" s="30">
        <v>0</v>
      </c>
      <c r="K91" s="30">
        <v>0</v>
      </c>
      <c r="L91" s="30">
        <v>0</v>
      </c>
      <c r="M91" s="30">
        <v>0</v>
      </c>
      <c r="N91" s="30">
        <v>0</v>
      </c>
      <c r="O91" s="31">
        <v>0</v>
      </c>
      <c r="P91" s="32">
        <f t="shared" si="17"/>
        <v>1090.62797</v>
      </c>
      <c r="Q91" s="213"/>
    </row>
    <row r="92" spans="1:17" ht="71.25" customHeight="1">
      <c r="A92" s="103"/>
      <c r="B92" s="123"/>
      <c r="C92" s="130" t="s">
        <v>164</v>
      </c>
      <c r="D92" s="29">
        <v>1090.62797</v>
      </c>
      <c r="E92" s="29">
        <v>1090.62797</v>
      </c>
      <c r="F92" s="30">
        <v>0</v>
      </c>
      <c r="G92" s="31">
        <v>0</v>
      </c>
      <c r="H92" s="30">
        <v>0</v>
      </c>
      <c r="I92" s="29">
        <v>0</v>
      </c>
      <c r="J92" s="30">
        <v>0</v>
      </c>
      <c r="K92" s="30">
        <v>0</v>
      </c>
      <c r="L92" s="30">
        <v>0</v>
      </c>
      <c r="M92" s="30">
        <v>0</v>
      </c>
      <c r="N92" s="30">
        <v>0</v>
      </c>
      <c r="O92" s="31">
        <v>0</v>
      </c>
      <c r="P92" s="32">
        <f t="shared" si="17"/>
        <v>1090.62797</v>
      </c>
      <c r="Q92" s="214"/>
    </row>
    <row r="93" spans="1:17" ht="24" customHeight="1">
      <c r="A93" s="103" t="s">
        <v>33</v>
      </c>
      <c r="B93" s="59" t="s">
        <v>84</v>
      </c>
      <c r="C93" s="184" t="s">
        <v>173</v>
      </c>
      <c r="D93" s="29">
        <f>D94</f>
        <v>173.83</v>
      </c>
      <c r="E93" s="29">
        <f>E94</f>
        <v>173.83</v>
      </c>
      <c r="F93" s="30">
        <v>0</v>
      </c>
      <c r="G93" s="31">
        <v>0</v>
      </c>
      <c r="H93" s="30">
        <v>0</v>
      </c>
      <c r="I93" s="29">
        <f>I94</f>
        <v>0</v>
      </c>
      <c r="J93" s="30">
        <v>0</v>
      </c>
      <c r="K93" s="30">
        <v>0</v>
      </c>
      <c r="L93" s="30">
        <v>0</v>
      </c>
      <c r="M93" s="30">
        <v>0</v>
      </c>
      <c r="N93" s="30">
        <v>0</v>
      </c>
      <c r="O93" s="31">
        <v>0</v>
      </c>
      <c r="P93" s="32">
        <f t="shared" si="17"/>
        <v>173.83</v>
      </c>
      <c r="Q93" s="214"/>
    </row>
    <row r="94" spans="1:17" ht="71.25" customHeight="1">
      <c r="A94" s="103"/>
      <c r="B94" s="123"/>
      <c r="C94" s="130" t="s">
        <v>164</v>
      </c>
      <c r="D94" s="29">
        <v>173.83</v>
      </c>
      <c r="E94" s="29">
        <v>173.83</v>
      </c>
      <c r="F94" s="30">
        <v>0</v>
      </c>
      <c r="G94" s="31">
        <v>0</v>
      </c>
      <c r="H94" s="30">
        <v>0</v>
      </c>
      <c r="I94" s="29">
        <v>0</v>
      </c>
      <c r="J94" s="30">
        <v>0</v>
      </c>
      <c r="K94" s="30">
        <v>0</v>
      </c>
      <c r="L94" s="30">
        <v>0</v>
      </c>
      <c r="M94" s="30">
        <v>0</v>
      </c>
      <c r="N94" s="30">
        <v>0</v>
      </c>
      <c r="O94" s="31">
        <v>0</v>
      </c>
      <c r="P94" s="32">
        <f t="shared" si="17"/>
        <v>173.83</v>
      </c>
      <c r="Q94" s="214"/>
    </row>
    <row r="95" spans="1:17" ht="23.25" customHeight="1">
      <c r="A95" s="103" t="s">
        <v>34</v>
      </c>
      <c r="B95" s="59" t="s">
        <v>84</v>
      </c>
      <c r="C95" s="184" t="s">
        <v>175</v>
      </c>
      <c r="D95" s="29">
        <f>D96</f>
        <v>6989.06444</v>
      </c>
      <c r="E95" s="30">
        <f>E96</f>
        <v>6989.06444</v>
      </c>
      <c r="F95" s="30">
        <v>0</v>
      </c>
      <c r="G95" s="31">
        <v>0</v>
      </c>
      <c r="H95" s="30">
        <v>0</v>
      </c>
      <c r="I95" s="29">
        <f>I96</f>
        <v>0</v>
      </c>
      <c r="J95" s="30">
        <v>0</v>
      </c>
      <c r="K95" s="30">
        <v>0</v>
      </c>
      <c r="L95" s="30">
        <v>0</v>
      </c>
      <c r="M95" s="30">
        <v>0</v>
      </c>
      <c r="N95" s="30">
        <v>0</v>
      </c>
      <c r="O95" s="31">
        <v>0</v>
      </c>
      <c r="P95" s="32">
        <f t="shared" si="17"/>
        <v>6989.06444</v>
      </c>
      <c r="Q95" s="214"/>
    </row>
    <row r="96" spans="1:17" ht="68.25" customHeight="1">
      <c r="A96" s="103"/>
      <c r="B96" s="123"/>
      <c r="C96" s="130" t="s">
        <v>164</v>
      </c>
      <c r="D96" s="29">
        <v>6989.06444</v>
      </c>
      <c r="E96" s="29">
        <v>6989.06444</v>
      </c>
      <c r="F96" s="30">
        <v>0</v>
      </c>
      <c r="G96" s="31">
        <v>0</v>
      </c>
      <c r="H96" s="30">
        <v>0</v>
      </c>
      <c r="I96" s="29">
        <v>0</v>
      </c>
      <c r="J96" s="30">
        <v>0</v>
      </c>
      <c r="K96" s="30">
        <v>0</v>
      </c>
      <c r="L96" s="30">
        <v>0</v>
      </c>
      <c r="M96" s="30">
        <v>0</v>
      </c>
      <c r="N96" s="30">
        <v>0</v>
      </c>
      <c r="O96" s="31">
        <v>0</v>
      </c>
      <c r="P96" s="32">
        <f t="shared" si="17"/>
        <v>6989.06444</v>
      </c>
      <c r="Q96" s="214"/>
    </row>
    <row r="97" spans="1:17" ht="31.5" customHeight="1">
      <c r="A97" s="103" t="s">
        <v>35</v>
      </c>
      <c r="B97" s="59" t="s">
        <v>105</v>
      </c>
      <c r="C97" s="185" t="s">
        <v>106</v>
      </c>
      <c r="D97" s="29">
        <f>D98</f>
        <v>27175.99835</v>
      </c>
      <c r="E97" s="29">
        <f>E98</f>
        <v>27175.99835</v>
      </c>
      <c r="F97" s="30">
        <v>0</v>
      </c>
      <c r="G97" s="31">
        <v>0</v>
      </c>
      <c r="H97" s="30">
        <v>0</v>
      </c>
      <c r="I97" s="29">
        <f>I98</f>
        <v>0</v>
      </c>
      <c r="J97" s="30">
        <v>0</v>
      </c>
      <c r="K97" s="30">
        <v>0</v>
      </c>
      <c r="L97" s="30">
        <v>0</v>
      </c>
      <c r="M97" s="30">
        <v>0</v>
      </c>
      <c r="N97" s="30">
        <v>0</v>
      </c>
      <c r="O97" s="31">
        <v>0</v>
      </c>
      <c r="P97" s="32">
        <f t="shared" si="17"/>
        <v>27175.99835</v>
      </c>
      <c r="Q97" s="214"/>
    </row>
    <row r="98" spans="1:17" ht="72.75" customHeight="1">
      <c r="A98" s="103"/>
      <c r="B98" s="123"/>
      <c r="C98" s="116" t="s">
        <v>163</v>
      </c>
      <c r="D98" s="29">
        <v>27175.99835</v>
      </c>
      <c r="E98" s="29">
        <v>27175.99835</v>
      </c>
      <c r="F98" s="30">
        <v>0</v>
      </c>
      <c r="G98" s="31">
        <v>0</v>
      </c>
      <c r="H98" s="30">
        <v>0</v>
      </c>
      <c r="I98" s="29">
        <v>0</v>
      </c>
      <c r="J98" s="30">
        <v>0</v>
      </c>
      <c r="K98" s="30">
        <v>0</v>
      </c>
      <c r="L98" s="30">
        <v>0</v>
      </c>
      <c r="M98" s="30">
        <v>0</v>
      </c>
      <c r="N98" s="30">
        <v>0</v>
      </c>
      <c r="O98" s="31">
        <v>0</v>
      </c>
      <c r="P98" s="32">
        <f t="shared" si="17"/>
        <v>27175.99835</v>
      </c>
      <c r="Q98" s="214"/>
    </row>
    <row r="99" spans="1:17" ht="33.75" customHeight="1">
      <c r="A99" s="103" t="s">
        <v>36</v>
      </c>
      <c r="B99" s="59" t="s">
        <v>105</v>
      </c>
      <c r="C99" s="185" t="s">
        <v>107</v>
      </c>
      <c r="D99" s="29">
        <f>D100</f>
        <v>5.38877</v>
      </c>
      <c r="E99" s="29">
        <f>E100</f>
        <v>5.38877</v>
      </c>
      <c r="F99" s="30">
        <v>0</v>
      </c>
      <c r="G99" s="31">
        <v>0</v>
      </c>
      <c r="H99" s="30">
        <v>0</v>
      </c>
      <c r="I99" s="29">
        <f>I100</f>
        <v>0</v>
      </c>
      <c r="J99" s="30">
        <v>0</v>
      </c>
      <c r="K99" s="30">
        <v>0</v>
      </c>
      <c r="L99" s="30">
        <v>0</v>
      </c>
      <c r="M99" s="30">
        <v>0</v>
      </c>
      <c r="N99" s="30">
        <v>0</v>
      </c>
      <c r="O99" s="31">
        <v>0</v>
      </c>
      <c r="P99" s="32">
        <f t="shared" si="17"/>
        <v>5.38877</v>
      </c>
      <c r="Q99" s="214"/>
    </row>
    <row r="100" spans="1:17" ht="58.5" customHeight="1" thickBot="1">
      <c r="A100" s="148"/>
      <c r="B100" s="150"/>
      <c r="C100" s="151" t="s">
        <v>97</v>
      </c>
      <c r="D100" s="37">
        <f>3.18877+2.8-0.6</f>
        <v>5.38877</v>
      </c>
      <c r="E100" s="37">
        <f>3.18877+2.8-0.6</f>
        <v>5.38877</v>
      </c>
      <c r="F100" s="38">
        <v>0</v>
      </c>
      <c r="G100" s="39">
        <v>0</v>
      </c>
      <c r="H100" s="38">
        <v>0</v>
      </c>
      <c r="I100" s="37">
        <v>0</v>
      </c>
      <c r="J100" s="38">
        <v>0</v>
      </c>
      <c r="K100" s="38">
        <v>0</v>
      </c>
      <c r="L100" s="38">
        <v>0</v>
      </c>
      <c r="M100" s="38">
        <v>0</v>
      </c>
      <c r="N100" s="38">
        <v>0</v>
      </c>
      <c r="O100" s="39">
        <v>0</v>
      </c>
      <c r="P100" s="40">
        <f t="shared" si="17"/>
        <v>5.38877</v>
      </c>
      <c r="Q100" s="214"/>
    </row>
    <row r="101" spans="1:17" ht="40.5" customHeight="1">
      <c r="A101" s="186" t="s">
        <v>66</v>
      </c>
      <c r="B101" s="83" t="s">
        <v>105</v>
      </c>
      <c r="C101" s="187" t="s">
        <v>67</v>
      </c>
      <c r="D101" s="72">
        <f>D102</f>
        <v>26.68124</v>
      </c>
      <c r="E101" s="72">
        <f>E102</f>
        <v>26.68124</v>
      </c>
      <c r="F101" s="75">
        <v>0</v>
      </c>
      <c r="G101" s="76">
        <v>0</v>
      </c>
      <c r="H101" s="75">
        <v>0</v>
      </c>
      <c r="I101" s="72">
        <f>I102</f>
        <v>0</v>
      </c>
      <c r="J101" s="75">
        <v>0</v>
      </c>
      <c r="K101" s="75">
        <v>0</v>
      </c>
      <c r="L101" s="75">
        <v>0</v>
      </c>
      <c r="M101" s="75">
        <v>0</v>
      </c>
      <c r="N101" s="75">
        <v>0</v>
      </c>
      <c r="O101" s="76">
        <v>0</v>
      </c>
      <c r="P101" s="74">
        <f t="shared" si="17"/>
        <v>26.68124</v>
      </c>
      <c r="Q101" s="214"/>
    </row>
    <row r="102" spans="1:17" ht="67.5" customHeight="1">
      <c r="A102" s="101"/>
      <c r="B102" s="126"/>
      <c r="C102" s="116" t="s">
        <v>163</v>
      </c>
      <c r="D102" s="25">
        <v>26.68124</v>
      </c>
      <c r="E102" s="25">
        <v>26.68124</v>
      </c>
      <c r="F102" s="30">
        <v>0</v>
      </c>
      <c r="G102" s="31">
        <v>0</v>
      </c>
      <c r="H102" s="30">
        <v>0</v>
      </c>
      <c r="I102" s="29">
        <v>0</v>
      </c>
      <c r="J102" s="30">
        <v>0</v>
      </c>
      <c r="K102" s="30">
        <v>0</v>
      </c>
      <c r="L102" s="30">
        <v>0</v>
      </c>
      <c r="M102" s="30">
        <v>0</v>
      </c>
      <c r="N102" s="30">
        <v>0</v>
      </c>
      <c r="O102" s="31">
        <v>0</v>
      </c>
      <c r="P102" s="32">
        <f t="shared" si="17"/>
        <v>26.68124</v>
      </c>
      <c r="Q102" s="214"/>
    </row>
    <row r="103" spans="1:17" ht="44.25" customHeight="1">
      <c r="A103" s="260" t="s">
        <v>37</v>
      </c>
      <c r="B103" s="59" t="s">
        <v>109</v>
      </c>
      <c r="C103" s="188" t="s">
        <v>108</v>
      </c>
      <c r="D103" s="29">
        <f>3407.4+45+1000.8-70</f>
        <v>4383.2</v>
      </c>
      <c r="E103" s="29">
        <f>D103</f>
        <v>4383.2</v>
      </c>
      <c r="F103" s="30">
        <v>0</v>
      </c>
      <c r="G103" s="31">
        <v>0</v>
      </c>
      <c r="H103" s="30">
        <v>0</v>
      </c>
      <c r="I103" s="29">
        <v>0</v>
      </c>
      <c r="J103" s="30">
        <v>0</v>
      </c>
      <c r="K103" s="30">
        <v>0</v>
      </c>
      <c r="L103" s="30">
        <v>0</v>
      </c>
      <c r="M103" s="30">
        <v>0</v>
      </c>
      <c r="N103" s="30">
        <v>0</v>
      </c>
      <c r="O103" s="31">
        <v>0</v>
      </c>
      <c r="P103" s="32">
        <f t="shared" si="17"/>
        <v>4383.2</v>
      </c>
      <c r="Q103" s="214"/>
    </row>
    <row r="104" spans="1:17" ht="33" customHeight="1" thickBot="1">
      <c r="A104" s="266"/>
      <c r="B104" s="128"/>
      <c r="C104" s="175" t="s">
        <v>58</v>
      </c>
      <c r="D104" s="33">
        <f>1600+45+1000.8</f>
        <v>2645.8</v>
      </c>
      <c r="E104" s="33">
        <f>1600+45+1000.8</f>
        <v>2645.8</v>
      </c>
      <c r="F104" s="34">
        <v>0</v>
      </c>
      <c r="G104" s="35">
        <v>0</v>
      </c>
      <c r="H104" s="34">
        <v>0</v>
      </c>
      <c r="I104" s="33">
        <v>0</v>
      </c>
      <c r="J104" s="34">
        <v>0</v>
      </c>
      <c r="K104" s="34">
        <v>0</v>
      </c>
      <c r="L104" s="34">
        <v>0</v>
      </c>
      <c r="M104" s="34">
        <v>0</v>
      </c>
      <c r="N104" s="34">
        <v>0</v>
      </c>
      <c r="O104" s="35">
        <v>0</v>
      </c>
      <c r="P104" s="36">
        <f t="shared" si="17"/>
        <v>2645.8</v>
      </c>
      <c r="Q104" s="214"/>
    </row>
    <row r="105" spans="1:17" ht="36.75" customHeight="1">
      <c r="A105" s="310" t="s">
        <v>116</v>
      </c>
      <c r="B105" s="83" t="s">
        <v>112</v>
      </c>
      <c r="C105" s="311" t="s">
        <v>117</v>
      </c>
      <c r="D105" s="72">
        <f>D106</f>
        <v>2813.81951</v>
      </c>
      <c r="E105" s="72">
        <f>E106</f>
        <v>2813.81951</v>
      </c>
      <c r="F105" s="75">
        <v>0</v>
      </c>
      <c r="G105" s="76">
        <v>0</v>
      </c>
      <c r="H105" s="75">
        <v>0</v>
      </c>
      <c r="I105" s="72">
        <f>I106</f>
        <v>0</v>
      </c>
      <c r="J105" s="75">
        <v>0</v>
      </c>
      <c r="K105" s="75">
        <v>0</v>
      </c>
      <c r="L105" s="75">
        <v>0</v>
      </c>
      <c r="M105" s="75">
        <v>0</v>
      </c>
      <c r="N105" s="75">
        <v>0</v>
      </c>
      <c r="O105" s="76">
        <v>0</v>
      </c>
      <c r="P105" s="74">
        <f aca="true" t="shared" si="18" ref="P105:P119">D105+I105</f>
        <v>2813.81951</v>
      </c>
      <c r="Q105" s="214"/>
    </row>
    <row r="106" spans="1:17" ht="65.25" customHeight="1" thickBot="1">
      <c r="A106" s="312"/>
      <c r="B106" s="150"/>
      <c r="C106" s="313" t="s">
        <v>164</v>
      </c>
      <c r="D106" s="37">
        <v>2813.81951</v>
      </c>
      <c r="E106" s="37">
        <v>2813.81951</v>
      </c>
      <c r="F106" s="38">
        <v>0</v>
      </c>
      <c r="G106" s="39">
        <v>0</v>
      </c>
      <c r="H106" s="38">
        <v>0</v>
      </c>
      <c r="I106" s="37">
        <v>0</v>
      </c>
      <c r="J106" s="38">
        <v>0</v>
      </c>
      <c r="K106" s="38">
        <v>0</v>
      </c>
      <c r="L106" s="38">
        <v>0</v>
      </c>
      <c r="M106" s="38">
        <v>0</v>
      </c>
      <c r="N106" s="38">
        <v>0</v>
      </c>
      <c r="O106" s="39">
        <v>0</v>
      </c>
      <c r="P106" s="40">
        <f t="shared" si="18"/>
        <v>2813.81951</v>
      </c>
      <c r="Q106" s="214"/>
    </row>
    <row r="107" spans="1:17" ht="47.25" customHeight="1">
      <c r="A107" s="149" t="s">
        <v>38</v>
      </c>
      <c r="B107" s="83" t="s">
        <v>105</v>
      </c>
      <c r="C107" s="187" t="s">
        <v>0</v>
      </c>
      <c r="D107" s="72">
        <f>D108</f>
        <v>4.89123</v>
      </c>
      <c r="E107" s="72">
        <f>E108</f>
        <v>4.89123</v>
      </c>
      <c r="F107" s="75">
        <v>0</v>
      </c>
      <c r="G107" s="76">
        <v>0</v>
      </c>
      <c r="H107" s="75">
        <v>0</v>
      </c>
      <c r="I107" s="72">
        <f>I108</f>
        <v>0</v>
      </c>
      <c r="J107" s="75">
        <v>0</v>
      </c>
      <c r="K107" s="75">
        <v>0</v>
      </c>
      <c r="L107" s="75">
        <v>0</v>
      </c>
      <c r="M107" s="75">
        <v>0</v>
      </c>
      <c r="N107" s="75">
        <v>0</v>
      </c>
      <c r="O107" s="76">
        <v>0</v>
      </c>
      <c r="P107" s="74">
        <f t="shared" si="18"/>
        <v>4.89123</v>
      </c>
      <c r="Q107" s="214"/>
    </row>
    <row r="108" spans="1:17" ht="62.25" customHeight="1" thickBot="1">
      <c r="A108" s="148"/>
      <c r="B108" s="127"/>
      <c r="C108" s="151" t="s">
        <v>97</v>
      </c>
      <c r="D108" s="37">
        <v>4.89123</v>
      </c>
      <c r="E108" s="37">
        <v>4.89123</v>
      </c>
      <c r="F108" s="38">
        <v>0</v>
      </c>
      <c r="G108" s="38">
        <v>0</v>
      </c>
      <c r="H108" s="38">
        <v>0</v>
      </c>
      <c r="I108" s="38">
        <v>0</v>
      </c>
      <c r="J108" s="38">
        <v>0</v>
      </c>
      <c r="K108" s="38">
        <v>0</v>
      </c>
      <c r="L108" s="38">
        <v>0</v>
      </c>
      <c r="M108" s="38">
        <v>0</v>
      </c>
      <c r="N108" s="38">
        <v>0</v>
      </c>
      <c r="O108" s="39">
        <v>0</v>
      </c>
      <c r="P108" s="40">
        <f t="shared" si="18"/>
        <v>4.89123</v>
      </c>
      <c r="Q108" s="214"/>
    </row>
    <row r="109" spans="1:17" ht="42.75" customHeight="1">
      <c r="A109" s="104" t="s">
        <v>39</v>
      </c>
      <c r="B109" s="181" t="s">
        <v>110</v>
      </c>
      <c r="C109" s="211" t="s">
        <v>111</v>
      </c>
      <c r="D109" s="47">
        <f>3583.505+10.973+142+85.216+30.934+45+25+177.341+57.237</f>
        <v>4157.206</v>
      </c>
      <c r="E109" s="47">
        <f>3583.505+10.973+142+85.216+30.934+45+25+177.341+57.237</f>
        <v>4157.206</v>
      </c>
      <c r="F109" s="48">
        <f>2531.559+41.993</f>
        <v>2573.552</v>
      </c>
      <c r="G109" s="49">
        <v>238.54</v>
      </c>
      <c r="H109" s="48">
        <v>0</v>
      </c>
      <c r="I109" s="47">
        <f>31.5+49.827</f>
        <v>81.327</v>
      </c>
      <c r="J109" s="47">
        <v>49.827</v>
      </c>
      <c r="K109" s="48">
        <v>28.038</v>
      </c>
      <c r="L109" s="48">
        <v>0</v>
      </c>
      <c r="M109" s="48">
        <v>31.5</v>
      </c>
      <c r="N109" s="48">
        <v>31.5</v>
      </c>
      <c r="O109" s="49">
        <v>31.5</v>
      </c>
      <c r="P109" s="86">
        <f t="shared" si="18"/>
        <v>4238.533</v>
      </c>
      <c r="Q109" s="214"/>
    </row>
    <row r="110" spans="1:17" ht="45" customHeight="1" thickBot="1">
      <c r="A110" s="103" t="s">
        <v>40</v>
      </c>
      <c r="B110" s="59" t="s">
        <v>112</v>
      </c>
      <c r="C110" s="185" t="s">
        <v>131</v>
      </c>
      <c r="D110" s="29">
        <v>197.385</v>
      </c>
      <c r="E110" s="29">
        <v>197.385</v>
      </c>
      <c r="F110" s="30">
        <v>0</v>
      </c>
      <c r="G110" s="31">
        <v>0</v>
      </c>
      <c r="H110" s="30">
        <v>0</v>
      </c>
      <c r="I110" s="29">
        <v>0</v>
      </c>
      <c r="J110" s="30">
        <v>0</v>
      </c>
      <c r="K110" s="30">
        <v>0</v>
      </c>
      <c r="L110" s="30">
        <v>0</v>
      </c>
      <c r="M110" s="30">
        <v>0</v>
      </c>
      <c r="N110" s="30">
        <v>0</v>
      </c>
      <c r="O110" s="31">
        <v>0</v>
      </c>
      <c r="P110" s="32">
        <f t="shared" si="18"/>
        <v>197.385</v>
      </c>
      <c r="Q110" s="215"/>
    </row>
    <row r="111" spans="1:16" ht="33" customHeight="1">
      <c r="A111" s="103" t="s">
        <v>42</v>
      </c>
      <c r="B111" s="59" t="s">
        <v>94</v>
      </c>
      <c r="C111" s="188" t="s">
        <v>113</v>
      </c>
      <c r="D111" s="29">
        <v>258.041</v>
      </c>
      <c r="E111" s="29">
        <v>258.041</v>
      </c>
      <c r="F111" s="30">
        <v>0</v>
      </c>
      <c r="G111" s="31">
        <v>0</v>
      </c>
      <c r="H111" s="30">
        <v>0</v>
      </c>
      <c r="I111" s="29">
        <v>0</v>
      </c>
      <c r="J111" s="30">
        <v>0</v>
      </c>
      <c r="K111" s="30">
        <v>0</v>
      </c>
      <c r="L111" s="30">
        <v>0</v>
      </c>
      <c r="M111" s="30">
        <v>0</v>
      </c>
      <c r="N111" s="30">
        <v>0</v>
      </c>
      <c r="O111" s="31">
        <v>0</v>
      </c>
      <c r="P111" s="32">
        <f t="shared" si="18"/>
        <v>258.041</v>
      </c>
    </row>
    <row r="112" spans="1:16" ht="42" customHeight="1">
      <c r="A112" s="103" t="s">
        <v>43</v>
      </c>
      <c r="B112" s="59" t="s">
        <v>112</v>
      </c>
      <c r="C112" s="188" t="s">
        <v>174</v>
      </c>
      <c r="D112" s="29">
        <f>D113</f>
        <v>14668.82275</v>
      </c>
      <c r="E112" s="29">
        <f>E113</f>
        <v>14668.82275</v>
      </c>
      <c r="F112" s="30">
        <v>0</v>
      </c>
      <c r="G112" s="31">
        <v>0</v>
      </c>
      <c r="H112" s="30">
        <v>0</v>
      </c>
      <c r="I112" s="29">
        <f>I113</f>
        <v>0</v>
      </c>
      <c r="J112" s="30">
        <v>0</v>
      </c>
      <c r="K112" s="30">
        <v>0</v>
      </c>
      <c r="L112" s="30">
        <v>0</v>
      </c>
      <c r="M112" s="30">
        <v>0</v>
      </c>
      <c r="N112" s="30">
        <v>0</v>
      </c>
      <c r="O112" s="31">
        <v>0</v>
      </c>
      <c r="P112" s="32">
        <f t="shared" si="18"/>
        <v>14668.82275</v>
      </c>
    </row>
    <row r="113" spans="1:16" ht="51" customHeight="1">
      <c r="A113" s="103"/>
      <c r="B113" s="59"/>
      <c r="C113" s="130" t="s">
        <v>164</v>
      </c>
      <c r="D113" s="29">
        <v>14668.82275</v>
      </c>
      <c r="E113" s="29">
        <v>14668.82275</v>
      </c>
      <c r="F113" s="30">
        <v>0</v>
      </c>
      <c r="G113" s="31">
        <v>0</v>
      </c>
      <c r="H113" s="30">
        <v>0</v>
      </c>
      <c r="I113" s="29">
        <v>0</v>
      </c>
      <c r="J113" s="30">
        <v>0</v>
      </c>
      <c r="K113" s="30">
        <v>0</v>
      </c>
      <c r="L113" s="30">
        <v>0</v>
      </c>
      <c r="M113" s="30">
        <v>0</v>
      </c>
      <c r="N113" s="30">
        <v>0</v>
      </c>
      <c r="O113" s="31">
        <v>0</v>
      </c>
      <c r="P113" s="32">
        <f t="shared" si="18"/>
        <v>14668.82275</v>
      </c>
    </row>
    <row r="114" spans="1:16" ht="36.75" customHeight="1">
      <c r="A114" s="134" t="s">
        <v>142</v>
      </c>
      <c r="B114" s="132"/>
      <c r="C114" s="147" t="s">
        <v>143</v>
      </c>
      <c r="D114" s="29">
        <f>D115</f>
        <v>1082.074</v>
      </c>
      <c r="E114" s="29">
        <f aca="true" t="shared" si="19" ref="E114:O114">E115</f>
        <v>1082.074</v>
      </c>
      <c r="F114" s="29">
        <f t="shared" si="19"/>
        <v>0</v>
      </c>
      <c r="G114" s="29">
        <f t="shared" si="19"/>
        <v>0</v>
      </c>
      <c r="H114" s="29">
        <f t="shared" si="19"/>
        <v>0</v>
      </c>
      <c r="I114" s="29">
        <f t="shared" si="19"/>
        <v>0</v>
      </c>
      <c r="J114" s="29">
        <f t="shared" si="19"/>
        <v>0</v>
      </c>
      <c r="K114" s="29">
        <f t="shared" si="19"/>
        <v>0</v>
      </c>
      <c r="L114" s="29">
        <f t="shared" si="19"/>
        <v>0</v>
      </c>
      <c r="M114" s="29">
        <f t="shared" si="19"/>
        <v>0</v>
      </c>
      <c r="N114" s="29">
        <f t="shared" si="19"/>
        <v>0</v>
      </c>
      <c r="O114" s="53">
        <f t="shared" si="19"/>
        <v>0</v>
      </c>
      <c r="P114" s="32">
        <f t="shared" si="18"/>
        <v>1082.074</v>
      </c>
    </row>
    <row r="115" spans="1:16" ht="58.5" customHeight="1">
      <c r="A115" s="259" t="s">
        <v>41</v>
      </c>
      <c r="B115" s="59" t="s">
        <v>120</v>
      </c>
      <c r="C115" s="190" t="s">
        <v>118</v>
      </c>
      <c r="D115" s="29">
        <f>D116</f>
        <v>1082.074</v>
      </c>
      <c r="E115" s="29">
        <f>E116</f>
        <v>1082.074</v>
      </c>
      <c r="F115" s="30">
        <v>0</v>
      </c>
      <c r="G115" s="31">
        <v>0</v>
      </c>
      <c r="H115" s="30">
        <v>0</v>
      </c>
      <c r="I115" s="29">
        <f>I116</f>
        <v>0</v>
      </c>
      <c r="J115" s="30">
        <v>0</v>
      </c>
      <c r="K115" s="30">
        <v>0</v>
      </c>
      <c r="L115" s="30">
        <v>0</v>
      </c>
      <c r="M115" s="30">
        <v>0</v>
      </c>
      <c r="N115" s="30">
        <v>0</v>
      </c>
      <c r="O115" s="31">
        <v>0</v>
      </c>
      <c r="P115" s="32">
        <f t="shared" si="18"/>
        <v>1082.074</v>
      </c>
    </row>
    <row r="116" spans="1:16" ht="84" customHeight="1">
      <c r="A116" s="259"/>
      <c r="B116" s="123"/>
      <c r="C116" s="191" t="s">
        <v>119</v>
      </c>
      <c r="D116" s="29">
        <v>1082.074</v>
      </c>
      <c r="E116" s="29">
        <v>1082.074</v>
      </c>
      <c r="F116" s="30">
        <v>0</v>
      </c>
      <c r="G116" s="31">
        <v>0</v>
      </c>
      <c r="H116" s="30">
        <v>0</v>
      </c>
      <c r="I116" s="29">
        <v>0</v>
      </c>
      <c r="J116" s="30">
        <v>0</v>
      </c>
      <c r="K116" s="30">
        <v>0</v>
      </c>
      <c r="L116" s="30">
        <v>0</v>
      </c>
      <c r="M116" s="30">
        <v>0</v>
      </c>
      <c r="N116" s="30">
        <v>0</v>
      </c>
      <c r="O116" s="31">
        <v>0</v>
      </c>
      <c r="P116" s="32">
        <f t="shared" si="18"/>
        <v>1082.074</v>
      </c>
    </row>
    <row r="117" spans="1:16" ht="32.25" customHeight="1">
      <c r="A117" s="108" t="s">
        <v>148</v>
      </c>
      <c r="B117" s="123"/>
      <c r="C117" s="117" t="s">
        <v>149</v>
      </c>
      <c r="D117" s="29">
        <f>D118</f>
        <v>80</v>
      </c>
      <c r="E117" s="29">
        <f aca="true" t="shared" si="20" ref="E117:O117">E118</f>
        <v>80</v>
      </c>
      <c r="F117" s="29">
        <f t="shared" si="20"/>
        <v>58.694</v>
      </c>
      <c r="G117" s="29">
        <f t="shared" si="20"/>
        <v>0</v>
      </c>
      <c r="H117" s="29">
        <f t="shared" si="20"/>
        <v>0</v>
      </c>
      <c r="I117" s="29">
        <f t="shared" si="20"/>
        <v>0</v>
      </c>
      <c r="J117" s="29">
        <f t="shared" si="20"/>
        <v>0</v>
      </c>
      <c r="K117" s="29">
        <f t="shared" si="20"/>
        <v>0</v>
      </c>
      <c r="L117" s="29">
        <f t="shared" si="20"/>
        <v>0</v>
      </c>
      <c r="M117" s="29">
        <f t="shared" si="20"/>
        <v>0</v>
      </c>
      <c r="N117" s="29">
        <f t="shared" si="20"/>
        <v>0</v>
      </c>
      <c r="O117" s="53">
        <f t="shared" si="20"/>
        <v>0</v>
      </c>
      <c r="P117" s="32">
        <f>E117+I117</f>
        <v>80</v>
      </c>
    </row>
    <row r="118" spans="1:16" ht="44.25" customHeight="1">
      <c r="A118" s="261">
        <v>250404</v>
      </c>
      <c r="B118" s="59" t="s">
        <v>114</v>
      </c>
      <c r="C118" s="174" t="s">
        <v>115</v>
      </c>
      <c r="D118" s="29">
        <f>D119</f>
        <v>80</v>
      </c>
      <c r="E118" s="29">
        <f>E119</f>
        <v>80</v>
      </c>
      <c r="F118" s="30">
        <f>F119</f>
        <v>58.694</v>
      </c>
      <c r="G118" s="31">
        <v>0</v>
      </c>
      <c r="H118" s="30">
        <v>0</v>
      </c>
      <c r="I118" s="29">
        <v>0</v>
      </c>
      <c r="J118" s="30">
        <v>0</v>
      </c>
      <c r="K118" s="30">
        <v>0</v>
      </c>
      <c r="L118" s="30">
        <v>0</v>
      </c>
      <c r="M118" s="30">
        <v>0</v>
      </c>
      <c r="N118" s="30">
        <v>0</v>
      </c>
      <c r="O118" s="31">
        <v>0</v>
      </c>
      <c r="P118" s="32">
        <f t="shared" si="18"/>
        <v>80</v>
      </c>
    </row>
    <row r="119" spans="1:16" ht="34.5" customHeight="1">
      <c r="A119" s="261"/>
      <c r="B119" s="123"/>
      <c r="C119" s="175" t="s">
        <v>58</v>
      </c>
      <c r="D119" s="29">
        <v>80</v>
      </c>
      <c r="E119" s="29">
        <v>80</v>
      </c>
      <c r="F119" s="30">
        <v>58.694</v>
      </c>
      <c r="G119" s="31">
        <v>0</v>
      </c>
      <c r="H119" s="30">
        <v>0</v>
      </c>
      <c r="I119" s="29">
        <v>0</v>
      </c>
      <c r="J119" s="30">
        <v>0</v>
      </c>
      <c r="K119" s="30">
        <v>0</v>
      </c>
      <c r="L119" s="30">
        <v>0</v>
      </c>
      <c r="M119" s="30">
        <v>0</v>
      </c>
      <c r="N119" s="30">
        <v>0</v>
      </c>
      <c r="O119" s="31">
        <v>0</v>
      </c>
      <c r="P119" s="32">
        <f t="shared" si="18"/>
        <v>80</v>
      </c>
    </row>
    <row r="120" spans="1:16" ht="24.75" customHeight="1">
      <c r="A120" s="106"/>
      <c r="B120" s="123"/>
      <c r="C120" s="118" t="s">
        <v>139</v>
      </c>
      <c r="D120" s="29">
        <f>D123+D124+D141+D146+D143</f>
        <v>205853.70399999997</v>
      </c>
      <c r="E120" s="29">
        <f>E123+E124+E141+E146+E143</f>
        <v>205853.70399999997</v>
      </c>
      <c r="F120" s="29">
        <f aca="true" t="shared" si="21" ref="F120:O120">F123+F124+F141</f>
        <v>99251.48199999997</v>
      </c>
      <c r="G120" s="29">
        <f t="shared" si="21"/>
        <v>37685.97142</v>
      </c>
      <c r="H120" s="29">
        <f t="shared" si="21"/>
        <v>0</v>
      </c>
      <c r="I120" s="29">
        <f>I123+I124+I141+I144+I147</f>
        <v>15583.430659999996</v>
      </c>
      <c r="J120" s="29">
        <f t="shared" si="21"/>
        <v>8387.217</v>
      </c>
      <c r="K120" s="29">
        <f t="shared" si="21"/>
        <v>125.964</v>
      </c>
      <c r="L120" s="29">
        <f t="shared" si="21"/>
        <v>0</v>
      </c>
      <c r="M120" s="29">
        <f>M123+M124+M141+M144+M147</f>
        <v>7196.213660000001</v>
      </c>
      <c r="N120" s="29">
        <f>N123+N124+N141+N144+N147</f>
        <v>7149.213660000001</v>
      </c>
      <c r="O120" s="53">
        <f t="shared" si="21"/>
        <v>933.6990000000001</v>
      </c>
      <c r="P120" s="32">
        <f>D120+I120</f>
        <v>221437.13465999995</v>
      </c>
    </row>
    <row r="121" spans="1:16" ht="22.5" customHeight="1">
      <c r="A121" s="106"/>
      <c r="B121" s="123"/>
      <c r="C121" s="119" t="s">
        <v>136</v>
      </c>
      <c r="D121" s="29"/>
      <c r="E121" s="29"/>
      <c r="F121" s="30"/>
      <c r="G121" s="31"/>
      <c r="H121" s="30"/>
      <c r="I121" s="29"/>
      <c r="J121" s="30"/>
      <c r="K121" s="30"/>
      <c r="L121" s="30"/>
      <c r="M121" s="30"/>
      <c r="N121" s="30"/>
      <c r="O121" s="31"/>
      <c r="P121" s="32"/>
    </row>
    <row r="122" spans="1:16" ht="22.5" customHeight="1">
      <c r="A122" s="134" t="s">
        <v>87</v>
      </c>
      <c r="B122" s="146"/>
      <c r="C122" s="140" t="s">
        <v>81</v>
      </c>
      <c r="D122" s="25">
        <f>D123</f>
        <v>393.375</v>
      </c>
      <c r="E122" s="25">
        <f>E123</f>
        <v>393.375</v>
      </c>
      <c r="F122" s="26">
        <f>F123</f>
        <v>218.359</v>
      </c>
      <c r="G122" s="26">
        <f>G123</f>
        <v>55.807</v>
      </c>
      <c r="H122" s="26">
        <v>0</v>
      </c>
      <c r="I122" s="29">
        <f>I123</f>
        <v>22</v>
      </c>
      <c r="J122" s="30">
        <v>0</v>
      </c>
      <c r="K122" s="30">
        <v>0</v>
      </c>
      <c r="L122" s="30">
        <v>0</v>
      </c>
      <c r="M122" s="30">
        <f>M123</f>
        <v>22</v>
      </c>
      <c r="N122" s="30">
        <f>N123</f>
        <v>22</v>
      </c>
      <c r="O122" s="31">
        <f>O123</f>
        <v>22</v>
      </c>
      <c r="P122" s="32">
        <f>D122+I122</f>
        <v>415.375</v>
      </c>
    </row>
    <row r="123" spans="1:16" ht="20.25" customHeight="1">
      <c r="A123" s="103" t="s">
        <v>15</v>
      </c>
      <c r="B123" s="59" t="s">
        <v>83</v>
      </c>
      <c r="C123" s="115" t="s">
        <v>82</v>
      </c>
      <c r="D123" s="25">
        <f>408.849+6.06+0.4+6.507+2.1-30.541</f>
        <v>393.375</v>
      </c>
      <c r="E123" s="25">
        <f>408.849+6.06+0.4+6.507+2.1-30.541</f>
        <v>393.375</v>
      </c>
      <c r="F123" s="26">
        <f>239.037+4.774+0.77-26.222</f>
        <v>218.359</v>
      </c>
      <c r="G123" s="27">
        <v>55.807</v>
      </c>
      <c r="H123" s="26">
        <v>0</v>
      </c>
      <c r="I123" s="25">
        <v>22</v>
      </c>
      <c r="J123" s="26">
        <v>0</v>
      </c>
      <c r="K123" s="30">
        <v>0</v>
      </c>
      <c r="L123" s="30">
        <v>0</v>
      </c>
      <c r="M123" s="30">
        <v>22</v>
      </c>
      <c r="N123" s="30">
        <v>22</v>
      </c>
      <c r="O123" s="31">
        <v>22</v>
      </c>
      <c r="P123" s="32">
        <f>D123+I123</f>
        <v>415.375</v>
      </c>
    </row>
    <row r="124" spans="1:16" ht="28.5" customHeight="1">
      <c r="A124" s="134" t="s">
        <v>142</v>
      </c>
      <c r="B124" s="135"/>
      <c r="C124" s="145" t="s">
        <v>143</v>
      </c>
      <c r="D124" s="25">
        <f>D125+D127+D130+D133+D135+D138+D139+D137</f>
        <v>199324.33099999995</v>
      </c>
      <c r="E124" s="25">
        <f>E125+E127+E130+E133+E135+E138+E139+E137</f>
        <v>199324.33099999995</v>
      </c>
      <c r="F124" s="25">
        <f aca="true" t="shared" si="22" ref="F124:O124">F125+F127+F130+F133+F135+F137+F138+F139</f>
        <v>99033.12299999998</v>
      </c>
      <c r="G124" s="25">
        <f t="shared" si="22"/>
        <v>37630.16442</v>
      </c>
      <c r="H124" s="25">
        <f t="shared" si="22"/>
        <v>0</v>
      </c>
      <c r="I124" s="25">
        <f>I125+I127+I130+I133+I135+I137+I138+I139</f>
        <v>13610.668659999998</v>
      </c>
      <c r="J124" s="25">
        <f>J125+J127+J130+J133+J135+J137+J138+J139</f>
        <v>8387.217</v>
      </c>
      <c r="K124" s="25">
        <f t="shared" si="22"/>
        <v>125.964</v>
      </c>
      <c r="L124" s="25">
        <f t="shared" si="22"/>
        <v>0</v>
      </c>
      <c r="M124" s="25">
        <f>M125+M127+M130+M133+M135+M137+M138+M139</f>
        <v>5223.451660000001</v>
      </c>
      <c r="N124" s="25">
        <f t="shared" si="22"/>
        <v>5176.451660000001</v>
      </c>
      <c r="O124" s="27">
        <f t="shared" si="22"/>
        <v>911.6990000000001</v>
      </c>
      <c r="P124" s="32">
        <f>D124+I124</f>
        <v>212934.99965999994</v>
      </c>
    </row>
    <row r="125" spans="1:16" ht="26.25" customHeight="1" thickBot="1">
      <c r="A125" s="262" t="s">
        <v>44</v>
      </c>
      <c r="B125" s="209" t="s">
        <v>120</v>
      </c>
      <c r="C125" s="220" t="s">
        <v>159</v>
      </c>
      <c r="D125" s="221">
        <f>68875.201+96.053+1326.473+1343.96-55.3+499.7+3209.211+969.449+126.9-116.679+151.91+65-1568.173</f>
        <v>74923.70499999999</v>
      </c>
      <c r="E125" s="221">
        <f>68875.201+96.053+1326.473+1343.96-55.3+499.7+3209.211+969.449+126.9-116.679+151.91+65-1568.173</f>
        <v>74923.70499999999</v>
      </c>
      <c r="F125" s="208">
        <f>30980.167+437.365+986.028+2354.52+671.22</f>
        <v>35429.3</v>
      </c>
      <c r="G125" s="222">
        <f>17060.423-116.679-1568.173</f>
        <v>15375.570999999998</v>
      </c>
      <c r="H125" s="208">
        <v>0</v>
      </c>
      <c r="I125" s="19">
        <f>7466.882+9.597+44.91+75.7+55.3+4+31.4+73.4+300+90</f>
        <v>8151.1889999999985</v>
      </c>
      <c r="J125" s="208">
        <v>7450.882</v>
      </c>
      <c r="K125" s="41">
        <v>0</v>
      </c>
      <c r="L125" s="41">
        <v>0</v>
      </c>
      <c r="M125" s="41">
        <f>16+9.597+44.91+75.7+55.3+4+31.4+73.4+300+90</f>
        <v>700.307</v>
      </c>
      <c r="N125" s="41">
        <f>9.597+44.91+75.7+55.3+4+31.4+73.4+300+90</f>
        <v>684.307</v>
      </c>
      <c r="O125" s="42">
        <f>75.7+55.3+4+31.4+73.4+90</f>
        <v>329.8</v>
      </c>
      <c r="P125" s="24">
        <f aca="true" t="shared" si="23" ref="P125:P138">D125+I125</f>
        <v>83074.89399999999</v>
      </c>
    </row>
    <row r="126" spans="1:16" ht="26.25" customHeight="1" thickBot="1">
      <c r="A126" s="264"/>
      <c r="B126" s="59"/>
      <c r="C126" s="112" t="s">
        <v>58</v>
      </c>
      <c r="D126" s="25">
        <v>0</v>
      </c>
      <c r="E126" s="25">
        <v>0</v>
      </c>
      <c r="F126" s="25">
        <v>0</v>
      </c>
      <c r="G126" s="27">
        <v>0</v>
      </c>
      <c r="H126" s="26">
        <v>0</v>
      </c>
      <c r="I126" s="29">
        <f>44.91+9.597+300</f>
        <v>354.507</v>
      </c>
      <c r="J126" s="26">
        <v>0</v>
      </c>
      <c r="K126" s="30">
        <v>0</v>
      </c>
      <c r="L126" s="30">
        <v>0</v>
      </c>
      <c r="M126" s="30">
        <f>44.91+9.597+300</f>
        <v>354.507</v>
      </c>
      <c r="N126" s="30">
        <f>44.91+9.597+300</f>
        <v>354.507</v>
      </c>
      <c r="O126" s="31">
        <v>0</v>
      </c>
      <c r="P126" s="24">
        <f t="shared" si="23"/>
        <v>354.507</v>
      </c>
    </row>
    <row r="127" spans="1:16" ht="28.5" customHeight="1">
      <c r="A127" s="263" t="s">
        <v>45</v>
      </c>
      <c r="B127" s="181" t="s">
        <v>122</v>
      </c>
      <c r="C127" s="231" t="s">
        <v>121</v>
      </c>
      <c r="D127" s="47">
        <f>101164.102+1812.871+163.855+860.39+29.135+1200.111+55+1023.98+81-34.385+704+2724.346+3138.511-1751.292-564.34+270.99+220.275+2+1568.173+492.886</f>
        <v>113161.608</v>
      </c>
      <c r="E127" s="47">
        <f>101164.102+1812.871+163.855+860.39+29.135+1200.111+55+1023.98+81-34.385+704+2724.346+3138.511-1751.292-564.34+270.99+220.275+2+1568.173+492.886</f>
        <v>113161.608</v>
      </c>
      <c r="F127" s="47">
        <f>50593.49+910.704+443.462+751.272+1998.787+1888.607-1255.262+1786.555</f>
        <v>57117.61499999998</v>
      </c>
      <c r="G127" s="49">
        <v>20697.86142</v>
      </c>
      <c r="H127" s="48">
        <v>0</v>
      </c>
      <c r="I127" s="47">
        <f>955.335+50.978+14.53266+12.888+2041.56+498.513+636.728+63.272-863.36586+34.385+4+99.9+420+135.05+164+121.6</f>
        <v>4389.3758</v>
      </c>
      <c r="J127" s="48">
        <v>924.335</v>
      </c>
      <c r="K127" s="48">
        <v>125.964</v>
      </c>
      <c r="L127" s="48">
        <v>0</v>
      </c>
      <c r="M127" s="48">
        <f>31+50.978+14.53266+12.888+2041.56+498.513+636.728+63.272-863.36586+34.385+4+99.9+420+135.05+164+121.6</f>
        <v>3465.0408</v>
      </c>
      <c r="N127" s="48">
        <f>50.978+14.53266+12.888+2041.56+498.513+636.728-863.36586+63.272+34.385+4+99.9+420+135.05+164+121.6</f>
        <v>3434.0408</v>
      </c>
      <c r="O127" s="49">
        <f>34.385+4+135.05+164+121.6</f>
        <v>459.03499999999997</v>
      </c>
      <c r="P127" s="74">
        <f t="shared" si="23"/>
        <v>117550.98379999999</v>
      </c>
    </row>
    <row r="128" spans="1:16" ht="31.5" customHeight="1">
      <c r="A128" s="263"/>
      <c r="B128" s="123"/>
      <c r="C128" s="232" t="s">
        <v>165</v>
      </c>
      <c r="D128" s="25">
        <f>83451.649+3138.511+492.886</f>
        <v>87083.046</v>
      </c>
      <c r="E128" s="25">
        <f>83451.649+3138.511+492.886</f>
        <v>87083.046</v>
      </c>
      <c r="F128" s="30">
        <v>52415.273</v>
      </c>
      <c r="G128" s="31">
        <v>14300.986</v>
      </c>
      <c r="H128" s="30">
        <v>0</v>
      </c>
      <c r="I128" s="29">
        <v>0</v>
      </c>
      <c r="J128" s="30">
        <v>0</v>
      </c>
      <c r="K128" s="30">
        <v>0</v>
      </c>
      <c r="L128" s="30">
        <v>0</v>
      </c>
      <c r="M128" s="30">
        <v>0</v>
      </c>
      <c r="N128" s="30">
        <v>0</v>
      </c>
      <c r="O128" s="31">
        <v>0</v>
      </c>
      <c r="P128" s="32">
        <f t="shared" si="23"/>
        <v>87083.046</v>
      </c>
    </row>
    <row r="129" spans="1:16" ht="38.25" customHeight="1" thickBot="1">
      <c r="A129" s="264"/>
      <c r="B129" s="233"/>
      <c r="C129" s="174" t="s">
        <v>183</v>
      </c>
      <c r="D129" s="25">
        <f>29.135+81</f>
        <v>110.135</v>
      </c>
      <c r="E129" s="25">
        <f>29.135+81</f>
        <v>110.135</v>
      </c>
      <c r="F129" s="26">
        <v>0</v>
      </c>
      <c r="G129" s="27">
        <v>81</v>
      </c>
      <c r="H129" s="30">
        <v>0</v>
      </c>
      <c r="I129" s="29">
        <f>12.888+14.53266+50.978+2041.56-863.36586+498.513+636.728+63.272+99.9+420</f>
        <v>2975.0058</v>
      </c>
      <c r="J129" s="30">
        <v>0</v>
      </c>
      <c r="K129" s="30">
        <v>0</v>
      </c>
      <c r="L129" s="30">
        <v>0</v>
      </c>
      <c r="M129" s="29">
        <f>12.888+14.53266+50.978+2041.56-863.36586+498.513+636.728+63.272+99.9+420</f>
        <v>2975.0058</v>
      </c>
      <c r="N129" s="29">
        <f>12.888+14.53266+50.978+2041.56-863.36586+498.513+636.728+63.272+99.9+420</f>
        <v>2975.0058</v>
      </c>
      <c r="O129" s="31">
        <v>0</v>
      </c>
      <c r="P129" s="32">
        <f t="shared" si="23"/>
        <v>3085.1408</v>
      </c>
    </row>
    <row r="130" spans="1:16" ht="35.25" customHeight="1">
      <c r="A130" s="262" t="s">
        <v>46</v>
      </c>
      <c r="B130" s="83" t="s">
        <v>122</v>
      </c>
      <c r="C130" s="234" t="s">
        <v>123</v>
      </c>
      <c r="D130" s="47">
        <f>1132.48+1.781+25.968+7.562+4.798+16.828</f>
        <v>1189.417</v>
      </c>
      <c r="E130" s="47">
        <f>1132.48+1.781+25.968+7.562+4.798+16.828</f>
        <v>1189.417</v>
      </c>
      <c r="F130" s="48">
        <f>639.198+19.052+7.278+1.79</f>
        <v>667.318</v>
      </c>
      <c r="G130" s="49">
        <f>253.029+16.828</f>
        <v>269.85699999999997</v>
      </c>
      <c r="H130" s="48">
        <v>0</v>
      </c>
      <c r="I130" s="47">
        <f>I132</f>
        <v>71.225</v>
      </c>
      <c r="J130" s="48">
        <v>0</v>
      </c>
      <c r="K130" s="48">
        <v>0</v>
      </c>
      <c r="L130" s="48">
        <v>0</v>
      </c>
      <c r="M130" s="48">
        <f>M132</f>
        <v>71.225</v>
      </c>
      <c r="N130" s="48">
        <f>N132</f>
        <v>71.225</v>
      </c>
      <c r="O130" s="49">
        <v>0</v>
      </c>
      <c r="P130" s="32">
        <f t="shared" si="23"/>
        <v>1260.6419999999998</v>
      </c>
    </row>
    <row r="131" spans="1:16" ht="35.25" customHeight="1">
      <c r="A131" s="263"/>
      <c r="B131" s="123"/>
      <c r="C131" s="232" t="s">
        <v>165</v>
      </c>
      <c r="D131" s="25">
        <v>650.478</v>
      </c>
      <c r="E131" s="25">
        <v>650.478</v>
      </c>
      <c r="F131" s="26">
        <v>477.24</v>
      </c>
      <c r="G131" s="27">
        <v>0</v>
      </c>
      <c r="H131" s="30">
        <v>0</v>
      </c>
      <c r="I131" s="29">
        <v>0</v>
      </c>
      <c r="J131" s="30">
        <v>0</v>
      </c>
      <c r="K131" s="30">
        <v>0</v>
      </c>
      <c r="L131" s="30">
        <v>0</v>
      </c>
      <c r="M131" s="30">
        <v>0</v>
      </c>
      <c r="N131" s="30">
        <v>0</v>
      </c>
      <c r="O131" s="31">
        <v>0</v>
      </c>
      <c r="P131" s="32">
        <f t="shared" si="23"/>
        <v>650.478</v>
      </c>
    </row>
    <row r="132" spans="1:16" ht="25.5" customHeight="1" thickBot="1">
      <c r="A132" s="314"/>
      <c r="B132" s="150"/>
      <c r="C132" s="235" t="s">
        <v>183</v>
      </c>
      <c r="D132" s="197">
        <v>0</v>
      </c>
      <c r="E132" s="197">
        <v>0</v>
      </c>
      <c r="F132" s="198">
        <v>0</v>
      </c>
      <c r="G132" s="315">
        <v>0</v>
      </c>
      <c r="H132" s="38">
        <v>0</v>
      </c>
      <c r="I132" s="37">
        <f>70.509+0.716</f>
        <v>71.225</v>
      </c>
      <c r="J132" s="38">
        <v>0</v>
      </c>
      <c r="K132" s="38">
        <v>0</v>
      </c>
      <c r="L132" s="38">
        <v>0</v>
      </c>
      <c r="M132" s="38">
        <f>70.509+0.716</f>
        <v>71.225</v>
      </c>
      <c r="N132" s="38">
        <f>70.509+0.716</f>
        <v>71.225</v>
      </c>
      <c r="O132" s="39">
        <v>0</v>
      </c>
      <c r="P132" s="40">
        <f>D132+I132</f>
        <v>71.225</v>
      </c>
    </row>
    <row r="133" spans="1:16" ht="33" customHeight="1">
      <c r="A133" s="316" t="s">
        <v>47</v>
      </c>
      <c r="B133" s="83" t="s">
        <v>124</v>
      </c>
      <c r="C133" s="317" t="s">
        <v>125</v>
      </c>
      <c r="D133" s="210">
        <f>5160.905+14.388+47.897+66.368+24.092+295.06+89.634+99.851+100</f>
        <v>5898.195</v>
      </c>
      <c r="E133" s="210">
        <f>5160.905+14.388+47.897+66.368+24.092+295.06+89.634+99.851+100</f>
        <v>5898.195</v>
      </c>
      <c r="F133" s="210">
        <f>2919.945+30.849+66.368+216.478+57.164</f>
        <v>3290.8040000000005</v>
      </c>
      <c r="G133" s="210">
        <f>986.515+99.851</f>
        <v>1086.366</v>
      </c>
      <c r="H133" s="210">
        <v>0</v>
      </c>
      <c r="I133" s="210">
        <f>12+0.649</f>
        <v>12.649000000000001</v>
      </c>
      <c r="J133" s="210">
        <v>12</v>
      </c>
      <c r="K133" s="75">
        <v>0</v>
      </c>
      <c r="L133" s="75">
        <v>0</v>
      </c>
      <c r="M133" s="75">
        <f>M134</f>
        <v>0.649</v>
      </c>
      <c r="N133" s="75">
        <f>N134</f>
        <v>0.649</v>
      </c>
      <c r="O133" s="76">
        <v>0</v>
      </c>
      <c r="P133" s="74">
        <f t="shared" si="23"/>
        <v>5910.844</v>
      </c>
    </row>
    <row r="134" spans="1:16" ht="33" customHeight="1" thickBot="1">
      <c r="A134" s="265"/>
      <c r="B134" s="127"/>
      <c r="C134" s="235" t="s">
        <v>58</v>
      </c>
      <c r="D134" s="197">
        <v>0</v>
      </c>
      <c r="E134" s="198">
        <v>0</v>
      </c>
      <c r="F134" s="198">
        <v>0</v>
      </c>
      <c r="G134" s="198">
        <v>0</v>
      </c>
      <c r="H134" s="38">
        <v>0</v>
      </c>
      <c r="I134" s="38">
        <v>0.649</v>
      </c>
      <c r="J134" s="38">
        <v>0</v>
      </c>
      <c r="K134" s="38">
        <v>0</v>
      </c>
      <c r="L134" s="38">
        <v>0</v>
      </c>
      <c r="M134" s="38">
        <v>0.649</v>
      </c>
      <c r="N134" s="38">
        <v>0.649</v>
      </c>
      <c r="O134" s="39">
        <v>0</v>
      </c>
      <c r="P134" s="40">
        <f t="shared" si="23"/>
        <v>0.649</v>
      </c>
    </row>
    <row r="135" spans="1:16" ht="37.5" customHeight="1">
      <c r="A135" s="255" t="s">
        <v>48</v>
      </c>
      <c r="B135" s="83" t="s">
        <v>126</v>
      </c>
      <c r="C135" s="236" t="s">
        <v>166</v>
      </c>
      <c r="D135" s="237">
        <f>755.802+1.687+56.741+17.237</f>
        <v>831.467</v>
      </c>
      <c r="E135" s="237">
        <f>755.802+1.687+56.741+17.237</f>
        <v>831.467</v>
      </c>
      <c r="F135" s="210">
        <f>492.201+1.238+41.629+14.734</f>
        <v>549.802</v>
      </c>
      <c r="G135" s="238">
        <v>57.892</v>
      </c>
      <c r="H135" s="210">
        <v>0</v>
      </c>
      <c r="I135" s="72">
        <f>I136</f>
        <v>863.36586</v>
      </c>
      <c r="J135" s="75">
        <v>0</v>
      </c>
      <c r="K135" s="75">
        <v>0</v>
      </c>
      <c r="L135" s="75">
        <v>0</v>
      </c>
      <c r="M135" s="75">
        <v>863.36586</v>
      </c>
      <c r="N135" s="75">
        <v>863.36586</v>
      </c>
      <c r="O135" s="76">
        <v>0</v>
      </c>
      <c r="P135" s="74">
        <f t="shared" si="23"/>
        <v>1694.83286</v>
      </c>
    </row>
    <row r="136" spans="1:16" ht="37.5" customHeight="1">
      <c r="A136" s="256"/>
      <c r="B136" s="59"/>
      <c r="C136" s="174" t="s">
        <v>58</v>
      </c>
      <c r="D136" s="25">
        <v>0</v>
      </c>
      <c r="E136" s="25">
        <v>0</v>
      </c>
      <c r="F136" s="26">
        <v>0</v>
      </c>
      <c r="G136" s="27">
        <v>0</v>
      </c>
      <c r="H136" s="26">
        <v>0</v>
      </c>
      <c r="I136" s="26">
        <f>K136+N136</f>
        <v>863.36586</v>
      </c>
      <c r="J136" s="30">
        <v>0</v>
      </c>
      <c r="K136" s="30">
        <v>0</v>
      </c>
      <c r="L136" s="30">
        <v>0</v>
      </c>
      <c r="M136" s="30">
        <v>863.36586</v>
      </c>
      <c r="N136" s="30">
        <v>863.36586</v>
      </c>
      <c r="O136" s="31">
        <v>0</v>
      </c>
      <c r="P136" s="32">
        <f t="shared" si="23"/>
        <v>863.36586</v>
      </c>
    </row>
    <row r="137" spans="1:16" ht="33.75" customHeight="1">
      <c r="A137" s="103" t="s">
        <v>49</v>
      </c>
      <c r="B137" s="59" t="s">
        <v>126</v>
      </c>
      <c r="C137" s="188" t="s">
        <v>127</v>
      </c>
      <c r="D137" s="25">
        <f>565.249+40+14.52</f>
        <v>619.769</v>
      </c>
      <c r="E137" s="25">
        <f>565.249+40+14.52</f>
        <v>619.769</v>
      </c>
      <c r="F137" s="26">
        <f>338.243+40</f>
        <v>378.243</v>
      </c>
      <c r="G137" s="27">
        <v>23.934</v>
      </c>
      <c r="H137" s="26">
        <v>0</v>
      </c>
      <c r="I137" s="29">
        <v>0</v>
      </c>
      <c r="J137" s="30">
        <v>0</v>
      </c>
      <c r="K137" s="30">
        <v>0</v>
      </c>
      <c r="L137" s="30">
        <v>0</v>
      </c>
      <c r="M137" s="30">
        <v>0</v>
      </c>
      <c r="N137" s="30">
        <v>0</v>
      </c>
      <c r="O137" s="31">
        <v>0</v>
      </c>
      <c r="P137" s="32">
        <f t="shared" si="23"/>
        <v>619.769</v>
      </c>
    </row>
    <row r="138" spans="1:16" ht="33.75" customHeight="1">
      <c r="A138" s="103" t="s">
        <v>50</v>
      </c>
      <c r="B138" s="59" t="s">
        <v>126</v>
      </c>
      <c r="C138" s="188" t="s">
        <v>128</v>
      </c>
      <c r="D138" s="25">
        <f>2351.221+10.016+225.876+28.407+8.63</f>
        <v>2624.1500000000005</v>
      </c>
      <c r="E138" s="25">
        <f>2351.221+10.016+225.876+28.407+8.63</f>
        <v>2624.1500000000005</v>
      </c>
      <c r="F138" s="26">
        <f>1411.358+165.72+20.842+2.121</f>
        <v>1600.0410000000002</v>
      </c>
      <c r="G138" s="27">
        <f>119.02-0.337</f>
        <v>118.68299999999999</v>
      </c>
      <c r="H138" s="26">
        <v>0</v>
      </c>
      <c r="I138" s="29">
        <f>J138+M138</f>
        <v>122.864</v>
      </c>
      <c r="J138" s="30">
        <v>0</v>
      </c>
      <c r="K138" s="30">
        <v>0</v>
      </c>
      <c r="L138" s="30">
        <v>0</v>
      </c>
      <c r="M138" s="30">
        <f>66.464+56.4</f>
        <v>122.864</v>
      </c>
      <c r="N138" s="30">
        <f>66.464+56.4</f>
        <v>122.864</v>
      </c>
      <c r="O138" s="31">
        <f>66.464+56.4</f>
        <v>122.864</v>
      </c>
      <c r="P138" s="32">
        <f t="shared" si="23"/>
        <v>2747.0140000000006</v>
      </c>
    </row>
    <row r="139" spans="1:16" ht="29.25" customHeight="1">
      <c r="A139" s="103" t="s">
        <v>51</v>
      </c>
      <c r="B139" s="59" t="s">
        <v>126</v>
      </c>
      <c r="C139" s="188" t="s">
        <v>129</v>
      </c>
      <c r="D139" s="29">
        <f>74.21+1.81</f>
        <v>76.02</v>
      </c>
      <c r="E139" s="29">
        <f>74.21+1.81</f>
        <v>76.02</v>
      </c>
      <c r="F139" s="30">
        <v>0</v>
      </c>
      <c r="G139" s="31">
        <v>0</v>
      </c>
      <c r="H139" s="30">
        <v>0</v>
      </c>
      <c r="I139" s="29">
        <v>0</v>
      </c>
      <c r="J139" s="30">
        <v>0</v>
      </c>
      <c r="K139" s="30">
        <v>0</v>
      </c>
      <c r="L139" s="30">
        <v>0</v>
      </c>
      <c r="M139" s="30">
        <v>0</v>
      </c>
      <c r="N139" s="30">
        <v>0</v>
      </c>
      <c r="O139" s="31">
        <v>0</v>
      </c>
      <c r="P139" s="32">
        <f aca="true" t="shared" si="24" ref="P139:P149">D139+I139</f>
        <v>76.02</v>
      </c>
    </row>
    <row r="140" spans="1:16" ht="32.25" customHeight="1">
      <c r="A140" s="102" t="s">
        <v>144</v>
      </c>
      <c r="B140" s="60"/>
      <c r="C140" s="111" t="s">
        <v>145</v>
      </c>
      <c r="D140" s="29">
        <f>D141</f>
        <v>468.053</v>
      </c>
      <c r="E140" s="29">
        <f aca="true" t="shared" si="25" ref="E140:O140">E141</f>
        <v>468.053</v>
      </c>
      <c r="F140" s="29">
        <f t="shared" si="25"/>
        <v>0</v>
      </c>
      <c r="G140" s="29">
        <f t="shared" si="25"/>
        <v>0</v>
      </c>
      <c r="H140" s="29">
        <f t="shared" si="25"/>
        <v>0</v>
      </c>
      <c r="I140" s="29">
        <f t="shared" si="25"/>
        <v>0</v>
      </c>
      <c r="J140" s="29">
        <f t="shared" si="25"/>
        <v>0</v>
      </c>
      <c r="K140" s="29">
        <f t="shared" si="25"/>
        <v>0</v>
      </c>
      <c r="L140" s="29">
        <f t="shared" si="25"/>
        <v>0</v>
      </c>
      <c r="M140" s="29">
        <f t="shared" si="25"/>
        <v>0</v>
      </c>
      <c r="N140" s="29">
        <f t="shared" si="25"/>
        <v>0</v>
      </c>
      <c r="O140" s="53">
        <f t="shared" si="25"/>
        <v>0</v>
      </c>
      <c r="P140" s="32">
        <f t="shared" si="24"/>
        <v>468.053</v>
      </c>
    </row>
    <row r="141" spans="1:16" ht="41.25" customHeight="1">
      <c r="A141" s="189" t="s">
        <v>52</v>
      </c>
      <c r="B141" s="59" t="s">
        <v>84</v>
      </c>
      <c r="C141" s="185" t="s">
        <v>158</v>
      </c>
      <c r="D141" s="29">
        <f>308.893+96.12+63.04</f>
        <v>468.053</v>
      </c>
      <c r="E141" s="29">
        <f>308.893+96.12+63.04</f>
        <v>468.053</v>
      </c>
      <c r="F141" s="30">
        <v>0</v>
      </c>
      <c r="G141" s="31">
        <v>0</v>
      </c>
      <c r="H141" s="30">
        <v>0</v>
      </c>
      <c r="I141" s="29">
        <v>0</v>
      </c>
      <c r="J141" s="30">
        <v>0</v>
      </c>
      <c r="K141" s="30">
        <v>0</v>
      </c>
      <c r="L141" s="30">
        <v>0</v>
      </c>
      <c r="M141" s="30">
        <v>0</v>
      </c>
      <c r="N141" s="30">
        <v>0</v>
      </c>
      <c r="O141" s="31">
        <v>0</v>
      </c>
      <c r="P141" s="32">
        <f t="shared" si="24"/>
        <v>468.053</v>
      </c>
    </row>
    <row r="142" spans="1:16" ht="37.5" customHeight="1">
      <c r="A142" s="189"/>
      <c r="B142" s="59"/>
      <c r="C142" s="112" t="s">
        <v>58</v>
      </c>
      <c r="D142" s="29">
        <f>96.12+63.04</f>
        <v>159.16</v>
      </c>
      <c r="E142" s="29">
        <f>96.12+63.04</f>
        <v>159.16</v>
      </c>
      <c r="F142" s="30">
        <v>0</v>
      </c>
      <c r="G142" s="31">
        <v>0</v>
      </c>
      <c r="H142" s="30">
        <v>0</v>
      </c>
      <c r="I142" s="29">
        <v>0</v>
      </c>
      <c r="J142" s="30">
        <v>0</v>
      </c>
      <c r="K142" s="30">
        <v>0</v>
      </c>
      <c r="L142" s="30">
        <v>0</v>
      </c>
      <c r="M142" s="30">
        <v>0</v>
      </c>
      <c r="N142" s="30">
        <v>0</v>
      </c>
      <c r="O142" s="31">
        <v>0</v>
      </c>
      <c r="P142" s="32">
        <f>D142+I142</f>
        <v>159.16</v>
      </c>
    </row>
    <row r="143" spans="1:16" ht="39.75" customHeight="1">
      <c r="A143" s="141" t="s">
        <v>179</v>
      </c>
      <c r="B143" s="142"/>
      <c r="C143" s="144" t="s">
        <v>193</v>
      </c>
      <c r="D143" s="29">
        <f>D144</f>
        <v>96</v>
      </c>
      <c r="E143" s="29">
        <f>E144</f>
        <v>96</v>
      </c>
      <c r="F143" s="29">
        <f aca="true" t="shared" si="26" ref="F143:O143">F144</f>
        <v>0</v>
      </c>
      <c r="G143" s="29">
        <f t="shared" si="26"/>
        <v>0</v>
      </c>
      <c r="H143" s="29">
        <f t="shared" si="26"/>
        <v>0</v>
      </c>
      <c r="I143" s="29">
        <f t="shared" si="26"/>
        <v>975.827</v>
      </c>
      <c r="J143" s="29">
        <f t="shared" si="26"/>
        <v>0</v>
      </c>
      <c r="K143" s="29">
        <f t="shared" si="26"/>
        <v>0</v>
      </c>
      <c r="L143" s="29">
        <f t="shared" si="26"/>
        <v>0</v>
      </c>
      <c r="M143" s="29">
        <f>M145</f>
        <v>975.827</v>
      </c>
      <c r="N143" s="29">
        <f>N145</f>
        <v>975.827</v>
      </c>
      <c r="O143" s="53">
        <f t="shared" si="26"/>
        <v>0</v>
      </c>
      <c r="P143" s="32">
        <f t="shared" si="24"/>
        <v>1071.827</v>
      </c>
    </row>
    <row r="144" spans="1:16" ht="28.5" customHeight="1">
      <c r="A144" s="257" t="s">
        <v>180</v>
      </c>
      <c r="B144" s="59" t="s">
        <v>181</v>
      </c>
      <c r="C144" s="193" t="s">
        <v>182</v>
      </c>
      <c r="D144" s="29">
        <f>D145</f>
        <v>96</v>
      </c>
      <c r="E144" s="29">
        <f>E145</f>
        <v>96</v>
      </c>
      <c r="F144" s="30">
        <f>F145</f>
        <v>0</v>
      </c>
      <c r="G144" s="31">
        <v>0</v>
      </c>
      <c r="H144" s="30">
        <v>0</v>
      </c>
      <c r="I144" s="29">
        <f>I145</f>
        <v>975.827</v>
      </c>
      <c r="J144" s="30">
        <v>0</v>
      </c>
      <c r="K144" s="30">
        <v>0</v>
      </c>
      <c r="L144" s="30">
        <v>0</v>
      </c>
      <c r="M144" s="29">
        <f>M145</f>
        <v>975.827</v>
      </c>
      <c r="N144" s="30">
        <f>N145</f>
        <v>975.827</v>
      </c>
      <c r="O144" s="31">
        <v>0</v>
      </c>
      <c r="P144" s="32">
        <f>D144+I144</f>
        <v>1071.827</v>
      </c>
    </row>
    <row r="145" spans="1:16" ht="45.75" customHeight="1">
      <c r="A145" s="258"/>
      <c r="B145" s="123"/>
      <c r="C145" s="192" t="s">
        <v>58</v>
      </c>
      <c r="D145" s="29">
        <v>96</v>
      </c>
      <c r="E145" s="29">
        <v>96</v>
      </c>
      <c r="F145" s="30">
        <v>0</v>
      </c>
      <c r="G145" s="31">
        <v>0</v>
      </c>
      <c r="H145" s="30">
        <v>0</v>
      </c>
      <c r="I145" s="29">
        <f>J145+M145</f>
        <v>975.827</v>
      </c>
      <c r="J145" s="30">
        <v>0</v>
      </c>
      <c r="K145" s="30">
        <v>0</v>
      </c>
      <c r="L145" s="30">
        <v>0</v>
      </c>
      <c r="M145" s="30">
        <f>687.327+288.5</f>
        <v>975.827</v>
      </c>
      <c r="N145" s="30">
        <f>687.327+288.5</f>
        <v>975.827</v>
      </c>
      <c r="O145" s="31">
        <v>0</v>
      </c>
      <c r="P145" s="32">
        <f>D145+I145</f>
        <v>1071.827</v>
      </c>
    </row>
    <row r="146" spans="1:16" ht="25.5" customHeight="1">
      <c r="A146" s="141" t="s">
        <v>148</v>
      </c>
      <c r="B146" s="142"/>
      <c r="C146" s="143" t="s">
        <v>149</v>
      </c>
      <c r="D146" s="29">
        <f>D147</f>
        <v>5571.945</v>
      </c>
      <c r="E146" s="29">
        <f aca="true" t="shared" si="27" ref="E146:O146">E147</f>
        <v>5571.945</v>
      </c>
      <c r="F146" s="29">
        <f t="shared" si="27"/>
        <v>0</v>
      </c>
      <c r="G146" s="29">
        <f t="shared" si="27"/>
        <v>0</v>
      </c>
      <c r="H146" s="29">
        <f t="shared" si="27"/>
        <v>0</v>
      </c>
      <c r="I146" s="29">
        <f t="shared" si="27"/>
        <v>974.935</v>
      </c>
      <c r="J146" s="29">
        <f t="shared" si="27"/>
        <v>0</v>
      </c>
      <c r="K146" s="29">
        <f t="shared" si="27"/>
        <v>0</v>
      </c>
      <c r="L146" s="29">
        <f t="shared" si="27"/>
        <v>0</v>
      </c>
      <c r="M146" s="29">
        <f t="shared" si="27"/>
        <v>974.935</v>
      </c>
      <c r="N146" s="29">
        <f t="shared" si="27"/>
        <v>974.935</v>
      </c>
      <c r="O146" s="53">
        <f t="shared" si="27"/>
        <v>0</v>
      </c>
      <c r="P146" s="32">
        <f>E146+I146</f>
        <v>6546.879999999999</v>
      </c>
    </row>
    <row r="147" spans="1:16" ht="25.5" customHeight="1">
      <c r="A147" s="257" t="s">
        <v>176</v>
      </c>
      <c r="B147" s="59" t="s">
        <v>114</v>
      </c>
      <c r="C147" s="174" t="s">
        <v>115</v>
      </c>
      <c r="D147" s="29">
        <f>D148</f>
        <v>5571.945</v>
      </c>
      <c r="E147" s="29">
        <f>E148</f>
        <v>5571.945</v>
      </c>
      <c r="F147" s="30">
        <f>F148</f>
        <v>0</v>
      </c>
      <c r="G147" s="31">
        <v>0</v>
      </c>
      <c r="H147" s="30">
        <v>0</v>
      </c>
      <c r="I147" s="25">
        <f>I148</f>
        <v>974.935</v>
      </c>
      <c r="J147" s="26">
        <v>0</v>
      </c>
      <c r="K147" s="26">
        <v>0</v>
      </c>
      <c r="L147" s="26">
        <v>0</v>
      </c>
      <c r="M147" s="26">
        <f>M148</f>
        <v>974.935</v>
      </c>
      <c r="N147" s="26">
        <f>N148</f>
        <v>974.935</v>
      </c>
      <c r="O147" s="27">
        <v>0</v>
      </c>
      <c r="P147" s="32">
        <f>D147+I147</f>
        <v>6546.879999999999</v>
      </c>
    </row>
    <row r="148" spans="1:16" ht="25.5" customHeight="1">
      <c r="A148" s="258"/>
      <c r="B148" s="123"/>
      <c r="C148" s="192" t="s">
        <v>58</v>
      </c>
      <c r="D148" s="29">
        <f>257.772+2853.236+476.358+929.954+104.354+477.289+472.982</f>
        <v>5571.945</v>
      </c>
      <c r="E148" s="29">
        <f>257.772+2853.236+476.358+929.954+104.354+477.289+472.982</f>
        <v>5571.945</v>
      </c>
      <c r="F148" s="30">
        <v>0</v>
      </c>
      <c r="G148" s="31">
        <v>0</v>
      </c>
      <c r="H148" s="30">
        <v>0</v>
      </c>
      <c r="I148" s="25">
        <f>58.01+447.486+108.805+345.634+15</f>
        <v>974.935</v>
      </c>
      <c r="J148" s="26">
        <v>0</v>
      </c>
      <c r="K148" s="26">
        <v>0</v>
      </c>
      <c r="L148" s="26">
        <v>0</v>
      </c>
      <c r="M148" s="26">
        <f>58.01+447.486+108.805+345.634+15</f>
        <v>974.935</v>
      </c>
      <c r="N148" s="26">
        <f>58.01+447.486+108.805+345.634+15</f>
        <v>974.935</v>
      </c>
      <c r="O148" s="27">
        <v>0</v>
      </c>
      <c r="P148" s="32">
        <f>D148+I148</f>
        <v>6546.879999999999</v>
      </c>
    </row>
    <row r="149" spans="1:16" ht="35.25" customHeight="1">
      <c r="A149" s="108"/>
      <c r="B149" s="123"/>
      <c r="C149" s="118" t="s">
        <v>135</v>
      </c>
      <c r="D149" s="29">
        <f>D152+D154+D155</f>
        <v>1132.5420000000001</v>
      </c>
      <c r="E149" s="29">
        <f aca="true" t="shared" si="28" ref="E149:O149">E152+E154+E155</f>
        <v>1132.5420000000001</v>
      </c>
      <c r="F149" s="29">
        <f t="shared" si="28"/>
        <v>455.825</v>
      </c>
      <c r="G149" s="53">
        <f t="shared" si="28"/>
        <v>25.539</v>
      </c>
      <c r="H149" s="30">
        <f t="shared" si="28"/>
        <v>0</v>
      </c>
      <c r="I149" s="29">
        <f t="shared" si="28"/>
        <v>15</v>
      </c>
      <c r="J149" s="29">
        <f t="shared" si="28"/>
        <v>0</v>
      </c>
      <c r="K149" s="29">
        <f t="shared" si="28"/>
        <v>0</v>
      </c>
      <c r="L149" s="29">
        <f t="shared" si="28"/>
        <v>0</v>
      </c>
      <c r="M149" s="29">
        <f t="shared" si="28"/>
        <v>15</v>
      </c>
      <c r="N149" s="29">
        <f t="shared" si="28"/>
        <v>15</v>
      </c>
      <c r="O149" s="53">
        <f t="shared" si="28"/>
        <v>15</v>
      </c>
      <c r="P149" s="32">
        <f t="shared" si="24"/>
        <v>1147.5420000000001</v>
      </c>
    </row>
    <row r="150" spans="1:16" ht="25.5" customHeight="1">
      <c r="A150" s="108"/>
      <c r="B150" s="123"/>
      <c r="C150" s="119" t="s">
        <v>136</v>
      </c>
      <c r="D150" s="29"/>
      <c r="E150" s="29"/>
      <c r="F150" s="29"/>
      <c r="G150" s="53"/>
      <c r="H150" s="30"/>
      <c r="I150" s="29"/>
      <c r="J150" s="29"/>
      <c r="K150" s="29"/>
      <c r="L150" s="29"/>
      <c r="M150" s="29"/>
      <c r="N150" s="29"/>
      <c r="O150" s="53"/>
      <c r="P150" s="32"/>
    </row>
    <row r="151" spans="1:16" ht="33" customHeight="1">
      <c r="A151" s="134" t="s">
        <v>87</v>
      </c>
      <c r="B151" s="135"/>
      <c r="C151" s="140" t="s">
        <v>81</v>
      </c>
      <c r="D151" s="29">
        <f aca="true" t="shared" si="29" ref="D151:I151">D152</f>
        <v>708.5600000000002</v>
      </c>
      <c r="E151" s="29">
        <f t="shared" si="29"/>
        <v>708.5600000000002</v>
      </c>
      <c r="F151" s="29">
        <f t="shared" si="29"/>
        <v>455.825</v>
      </c>
      <c r="G151" s="29">
        <f t="shared" si="29"/>
        <v>25.539</v>
      </c>
      <c r="H151" s="29">
        <f t="shared" si="29"/>
        <v>0</v>
      </c>
      <c r="I151" s="29">
        <f t="shared" si="29"/>
        <v>15</v>
      </c>
      <c r="J151" s="30">
        <v>0</v>
      </c>
      <c r="K151" s="30">
        <v>0</v>
      </c>
      <c r="L151" s="30">
        <v>0</v>
      </c>
      <c r="M151" s="30">
        <f>M152</f>
        <v>15</v>
      </c>
      <c r="N151" s="30">
        <f>N152</f>
        <v>15</v>
      </c>
      <c r="O151" s="31">
        <v>0</v>
      </c>
      <c r="P151" s="32">
        <f aca="true" t="shared" si="30" ref="P151:P156">D151+I151</f>
        <v>723.5600000000002</v>
      </c>
    </row>
    <row r="152" spans="1:16" ht="25.5" customHeight="1">
      <c r="A152" s="103" t="s">
        <v>15</v>
      </c>
      <c r="B152" s="59" t="s">
        <v>83</v>
      </c>
      <c r="C152" s="173" t="s">
        <v>82</v>
      </c>
      <c r="D152" s="29">
        <f>676.447+6.745+30.59+15.378+19.077+6.157-45.834</f>
        <v>708.5600000000002</v>
      </c>
      <c r="E152" s="29">
        <f>676.447+6.745+30.59+15.378+19.077+6.157-45.834</f>
        <v>708.5600000000002</v>
      </c>
      <c r="F152" s="29">
        <f>450.254+22.443+11.282+13.996-42.15</f>
        <v>455.825</v>
      </c>
      <c r="G152" s="29">
        <v>25.539</v>
      </c>
      <c r="H152" s="29">
        <v>0</v>
      </c>
      <c r="I152" s="29">
        <v>15</v>
      </c>
      <c r="J152" s="30">
        <v>0</v>
      </c>
      <c r="K152" s="30">
        <v>0</v>
      </c>
      <c r="L152" s="30">
        <v>0</v>
      </c>
      <c r="M152" s="30">
        <v>15</v>
      </c>
      <c r="N152" s="30">
        <v>15</v>
      </c>
      <c r="O152" s="31">
        <v>15</v>
      </c>
      <c r="P152" s="32">
        <f t="shared" si="30"/>
        <v>723.5600000000002</v>
      </c>
    </row>
    <row r="153" spans="1:16" ht="25.5" customHeight="1">
      <c r="A153" s="102" t="s">
        <v>144</v>
      </c>
      <c r="B153" s="60"/>
      <c r="C153" s="111" t="s">
        <v>145</v>
      </c>
      <c r="D153" s="29">
        <f>D154+D155</f>
        <v>423.98199999999997</v>
      </c>
      <c r="E153" s="29">
        <f aca="true" t="shared" si="31" ref="E153:O153">E154+E155</f>
        <v>423.98199999999997</v>
      </c>
      <c r="F153" s="29">
        <f t="shared" si="31"/>
        <v>0</v>
      </c>
      <c r="G153" s="29">
        <f t="shared" si="31"/>
        <v>0</v>
      </c>
      <c r="H153" s="29">
        <f t="shared" si="31"/>
        <v>0</v>
      </c>
      <c r="I153" s="29">
        <f t="shared" si="31"/>
        <v>0</v>
      </c>
      <c r="J153" s="29">
        <f t="shared" si="31"/>
        <v>0</v>
      </c>
      <c r="K153" s="29">
        <f t="shared" si="31"/>
        <v>0</v>
      </c>
      <c r="L153" s="29">
        <f t="shared" si="31"/>
        <v>0</v>
      </c>
      <c r="M153" s="29">
        <f t="shared" si="31"/>
        <v>0</v>
      </c>
      <c r="N153" s="29">
        <f t="shared" si="31"/>
        <v>0</v>
      </c>
      <c r="O153" s="53">
        <f t="shared" si="31"/>
        <v>0</v>
      </c>
      <c r="P153" s="32">
        <f t="shared" si="30"/>
        <v>423.98199999999997</v>
      </c>
    </row>
    <row r="154" spans="1:16" ht="34.5" customHeight="1">
      <c r="A154" s="103" t="s">
        <v>53</v>
      </c>
      <c r="B154" s="59" t="s">
        <v>84</v>
      </c>
      <c r="C154" s="188" t="s">
        <v>130</v>
      </c>
      <c r="D154" s="29">
        <f>24.505+4.8</f>
        <v>29.305</v>
      </c>
      <c r="E154" s="29">
        <f>24.505+4.8</f>
        <v>29.305</v>
      </c>
      <c r="F154" s="30">
        <v>0</v>
      </c>
      <c r="G154" s="31">
        <v>0</v>
      </c>
      <c r="H154" s="30">
        <v>0</v>
      </c>
      <c r="I154" s="29">
        <v>0</v>
      </c>
      <c r="J154" s="30">
        <v>0</v>
      </c>
      <c r="K154" s="30">
        <v>0</v>
      </c>
      <c r="L154" s="30">
        <v>0</v>
      </c>
      <c r="M154" s="30">
        <v>0</v>
      </c>
      <c r="N154" s="30">
        <v>0</v>
      </c>
      <c r="O154" s="31">
        <v>0</v>
      </c>
      <c r="P154" s="32">
        <f t="shared" si="30"/>
        <v>29.305</v>
      </c>
    </row>
    <row r="155" spans="1:16" ht="39" customHeight="1">
      <c r="A155" s="101" t="s">
        <v>52</v>
      </c>
      <c r="B155" s="59" t="s">
        <v>84</v>
      </c>
      <c r="C155" s="188" t="s">
        <v>158</v>
      </c>
      <c r="D155" s="29">
        <f>428.943-34.266</f>
        <v>394.67699999999996</v>
      </c>
      <c r="E155" s="29">
        <f>428.943-34.266</f>
        <v>394.67699999999996</v>
      </c>
      <c r="F155" s="30">
        <v>0</v>
      </c>
      <c r="G155" s="31">
        <v>0</v>
      </c>
      <c r="H155" s="30">
        <v>0</v>
      </c>
      <c r="I155" s="29">
        <v>0</v>
      </c>
      <c r="J155" s="30">
        <v>0</v>
      </c>
      <c r="K155" s="30">
        <v>0</v>
      </c>
      <c r="L155" s="30">
        <v>0</v>
      </c>
      <c r="M155" s="30">
        <v>0</v>
      </c>
      <c r="N155" s="30">
        <v>0</v>
      </c>
      <c r="O155" s="31">
        <v>0</v>
      </c>
      <c r="P155" s="32">
        <f t="shared" si="30"/>
        <v>394.67699999999996</v>
      </c>
    </row>
    <row r="156" spans="1:16" ht="33" customHeight="1">
      <c r="A156" s="107"/>
      <c r="B156" s="128"/>
      <c r="C156" s="120" t="s">
        <v>137</v>
      </c>
      <c r="D156" s="33">
        <f>D159</f>
        <v>912.186</v>
      </c>
      <c r="E156" s="33">
        <f>E159</f>
        <v>912.186</v>
      </c>
      <c r="F156" s="34">
        <f>F159</f>
        <v>564.1039999999999</v>
      </c>
      <c r="G156" s="35">
        <f>G159</f>
        <v>31.542</v>
      </c>
      <c r="H156" s="34">
        <v>0</v>
      </c>
      <c r="I156" s="33">
        <f>I159</f>
        <v>0</v>
      </c>
      <c r="J156" s="34">
        <v>0</v>
      </c>
      <c r="K156" s="34">
        <v>0</v>
      </c>
      <c r="L156" s="34">
        <v>0</v>
      </c>
      <c r="M156" s="34">
        <v>0</v>
      </c>
      <c r="N156" s="34">
        <v>0</v>
      </c>
      <c r="O156" s="35">
        <v>0</v>
      </c>
      <c r="P156" s="36">
        <f t="shared" si="30"/>
        <v>912.186</v>
      </c>
    </row>
    <row r="157" spans="1:16" ht="33" customHeight="1">
      <c r="A157" s="107"/>
      <c r="B157" s="128"/>
      <c r="C157" s="115" t="s">
        <v>136</v>
      </c>
      <c r="D157" s="29"/>
      <c r="E157" s="33"/>
      <c r="F157" s="34"/>
      <c r="G157" s="35"/>
      <c r="H157" s="34"/>
      <c r="I157" s="33"/>
      <c r="J157" s="34"/>
      <c r="K157" s="34"/>
      <c r="L157" s="34"/>
      <c r="M157" s="34"/>
      <c r="N157" s="34"/>
      <c r="O157" s="35"/>
      <c r="P157" s="36"/>
    </row>
    <row r="158" spans="1:16" ht="31.5" customHeight="1">
      <c r="A158" s="134" t="s">
        <v>87</v>
      </c>
      <c r="B158" s="135"/>
      <c r="C158" s="136" t="s">
        <v>81</v>
      </c>
      <c r="D158" s="33">
        <f>D159</f>
        <v>912.186</v>
      </c>
      <c r="E158" s="33">
        <f aca="true" t="shared" si="32" ref="E158:O158">E159</f>
        <v>912.186</v>
      </c>
      <c r="F158" s="33">
        <f t="shared" si="32"/>
        <v>564.1039999999999</v>
      </c>
      <c r="G158" s="33">
        <f t="shared" si="32"/>
        <v>31.542</v>
      </c>
      <c r="H158" s="33">
        <f t="shared" si="32"/>
        <v>0</v>
      </c>
      <c r="I158" s="33">
        <f t="shared" si="32"/>
        <v>0</v>
      </c>
      <c r="J158" s="33">
        <f t="shared" si="32"/>
        <v>0</v>
      </c>
      <c r="K158" s="33">
        <f t="shared" si="32"/>
        <v>0</v>
      </c>
      <c r="L158" s="33">
        <f t="shared" si="32"/>
        <v>0</v>
      </c>
      <c r="M158" s="33">
        <f t="shared" si="32"/>
        <v>0</v>
      </c>
      <c r="N158" s="33">
        <f t="shared" si="32"/>
        <v>0</v>
      </c>
      <c r="O158" s="68">
        <f t="shared" si="32"/>
        <v>0</v>
      </c>
      <c r="P158" s="36">
        <f>E158+I158</f>
        <v>912.186</v>
      </c>
    </row>
    <row r="159" spans="1:16" ht="29.25" customHeight="1" thickBot="1">
      <c r="A159" s="194" t="s">
        <v>15</v>
      </c>
      <c r="B159" s="195" t="s">
        <v>83</v>
      </c>
      <c r="C159" s="196" t="s">
        <v>82</v>
      </c>
      <c r="D159" s="197">
        <f>960.388+15+2.264+12.391-77.857</f>
        <v>912.186</v>
      </c>
      <c r="E159" s="197">
        <f>960.388+15+2.264+12.391-77.857</f>
        <v>912.186</v>
      </c>
      <c r="F159" s="198">
        <f>620.856+1.661+8.973-67.386</f>
        <v>564.1039999999999</v>
      </c>
      <c r="G159" s="39">
        <v>31.542</v>
      </c>
      <c r="H159" s="38">
        <v>0</v>
      </c>
      <c r="I159" s="37">
        <v>0</v>
      </c>
      <c r="J159" s="38">
        <v>0</v>
      </c>
      <c r="K159" s="38">
        <v>0</v>
      </c>
      <c r="L159" s="38">
        <v>0</v>
      </c>
      <c r="M159" s="38">
        <v>0</v>
      </c>
      <c r="N159" s="38">
        <v>0</v>
      </c>
      <c r="O159" s="39">
        <v>0</v>
      </c>
      <c r="P159" s="36">
        <f>E159+I159</f>
        <v>912.186</v>
      </c>
    </row>
    <row r="160" spans="1:16" ht="33.75" customHeight="1" thickBot="1">
      <c r="A160" s="223"/>
      <c r="B160" s="224"/>
      <c r="C160" s="225" t="s">
        <v>55</v>
      </c>
      <c r="D160" s="226">
        <f>D156+D149+D120+D56+D37+D14</f>
        <v>393751.76540000003</v>
      </c>
      <c r="E160" s="226">
        <f>E156+E149+E120+E56+E37+E14</f>
        <v>393751.76540000003</v>
      </c>
      <c r="F160" s="226">
        <f>F156+F149+F120+F56+F37+F14</f>
        <v>109677.47899999998</v>
      </c>
      <c r="G160" s="226">
        <f>G156+G149+G120+G56+G37+G14</f>
        <v>39415.32542</v>
      </c>
      <c r="H160" s="226">
        <f>H156+H149+H120+H56+H37+H14</f>
        <v>0</v>
      </c>
      <c r="I160" s="226">
        <f aca="true" t="shared" si="33" ref="I160:O160">I14+I37+I56+I120+I149+I156</f>
        <v>15974.459659999997</v>
      </c>
      <c r="J160" s="226">
        <f t="shared" si="33"/>
        <v>8539.308</v>
      </c>
      <c r="K160" s="226">
        <f t="shared" si="33"/>
        <v>154.002</v>
      </c>
      <c r="L160" s="226">
        <f t="shared" si="33"/>
        <v>0</v>
      </c>
      <c r="M160" s="226">
        <f t="shared" si="33"/>
        <v>7435.151660000001</v>
      </c>
      <c r="N160" s="226">
        <f t="shared" si="33"/>
        <v>7388.151660000001</v>
      </c>
      <c r="O160" s="227">
        <f t="shared" si="33"/>
        <v>993.1990000000001</v>
      </c>
      <c r="P160" s="228">
        <f>P14+P56+P120+P149+P156+P37</f>
        <v>409726.22506</v>
      </c>
    </row>
    <row r="161" spans="1:16" ht="31.5" customHeight="1">
      <c r="A161" s="1"/>
      <c r="B161" s="2"/>
      <c r="C161" s="1"/>
      <c r="D161" s="50"/>
      <c r="E161" s="50"/>
      <c r="F161" s="50"/>
      <c r="G161" s="50"/>
      <c r="H161" s="50"/>
      <c r="I161" s="50"/>
      <c r="J161" s="50"/>
      <c r="K161" s="13"/>
      <c r="L161" s="50"/>
      <c r="M161" s="51"/>
      <c r="N161" s="51"/>
      <c r="O161" s="50"/>
      <c r="P161" s="51"/>
    </row>
    <row r="162" spans="1:16" ht="24" customHeight="1">
      <c r="A162" s="1"/>
      <c r="B162" s="2"/>
      <c r="C162" s="1"/>
      <c r="D162" s="9"/>
      <c r="E162" s="9"/>
      <c r="F162" s="9"/>
      <c r="G162" s="9"/>
      <c r="H162" s="9"/>
      <c r="I162" s="9"/>
      <c r="J162" s="9"/>
      <c r="K162" s="1"/>
      <c r="L162" s="9"/>
      <c r="M162" s="7"/>
      <c r="N162" s="7"/>
      <c r="O162" s="9"/>
      <c r="P162" s="7"/>
    </row>
    <row r="163" spans="1:16" ht="20.25" customHeight="1">
      <c r="A163" s="1"/>
      <c r="B163" s="2"/>
      <c r="C163" s="1"/>
      <c r="D163" s="1"/>
      <c r="E163" s="1"/>
      <c r="F163" s="7"/>
      <c r="G163" s="7"/>
      <c r="H163" s="7"/>
      <c r="I163" s="8"/>
      <c r="J163" s="8"/>
      <c r="K163" s="9"/>
      <c r="L163" s="9"/>
      <c r="M163" s="1"/>
      <c r="N163" s="1"/>
      <c r="O163" s="1"/>
      <c r="P163" s="1"/>
    </row>
    <row r="164" spans="1:16" ht="22.5" customHeight="1">
      <c r="A164" s="1"/>
      <c r="B164" s="2"/>
      <c r="C164" s="1" t="s">
        <v>184</v>
      </c>
      <c r="D164" s="9"/>
      <c r="E164" s="9"/>
      <c r="F164" s="7"/>
      <c r="G164" s="7"/>
      <c r="H164" s="7"/>
      <c r="I164" s="8"/>
      <c r="J164" s="8" t="s">
        <v>200</v>
      </c>
      <c r="K164" s="9"/>
      <c r="L164" s="9"/>
      <c r="M164" s="1"/>
      <c r="N164" s="1"/>
      <c r="O164" s="1"/>
      <c r="P164" s="1"/>
    </row>
    <row r="165" spans="1:16" ht="23.25" customHeight="1">
      <c r="A165" s="1"/>
      <c r="B165" s="2"/>
      <c r="C165" s="1"/>
      <c r="D165" s="1"/>
      <c r="E165" s="1"/>
      <c r="F165" s="7"/>
      <c r="G165" s="7"/>
      <c r="H165" s="7"/>
      <c r="I165" s="8"/>
      <c r="J165" s="8"/>
      <c r="K165" s="9"/>
      <c r="L165" s="9"/>
      <c r="M165" s="1"/>
      <c r="N165" s="1"/>
      <c r="O165" s="1"/>
      <c r="P165" s="1"/>
    </row>
    <row r="166" ht="27.75" customHeight="1">
      <c r="B166" s="10"/>
    </row>
    <row r="167" spans="2:16" ht="12.75">
      <c r="B167" s="10"/>
      <c r="D167" s="5"/>
      <c r="E167" s="5"/>
      <c r="F167" s="5"/>
      <c r="G167" s="5"/>
      <c r="H167" s="5"/>
      <c r="I167" s="5"/>
      <c r="J167" s="5"/>
      <c r="K167" s="5"/>
      <c r="L167" s="5"/>
      <c r="M167" s="5"/>
      <c r="N167" s="5"/>
      <c r="O167" s="5"/>
      <c r="P167" s="5"/>
    </row>
    <row r="168" spans="2:16" ht="12.75">
      <c r="B168" s="10"/>
      <c r="D168" s="5"/>
      <c r="E168" s="5"/>
      <c r="F168" s="5"/>
      <c r="G168" s="5"/>
      <c r="H168" s="5"/>
      <c r="I168" s="5"/>
      <c r="J168" s="5"/>
      <c r="K168" s="5"/>
      <c r="L168" s="5"/>
      <c r="M168" s="5"/>
      <c r="N168" s="5"/>
      <c r="O168" s="5"/>
      <c r="P168" s="5"/>
    </row>
    <row r="169" spans="2:5" ht="12.75">
      <c r="B169" s="10"/>
      <c r="C169" s="3">
        <v>250328</v>
      </c>
      <c r="D169" s="12">
        <f>D63+D70+D72+D78+D98+D102</f>
        <v>46585.84601</v>
      </c>
      <c r="E169" s="5"/>
    </row>
    <row r="170" spans="2:16" ht="12.75">
      <c r="B170" s="10"/>
      <c r="C170" s="11">
        <v>250329</v>
      </c>
      <c r="D170" s="5">
        <f>D67+D74+D76</f>
        <v>1019.15445</v>
      </c>
      <c r="E170" s="5"/>
      <c r="F170" s="5"/>
      <c r="G170" s="5"/>
      <c r="H170" s="5"/>
      <c r="I170" s="5"/>
      <c r="J170" s="5"/>
      <c r="K170" s="5"/>
      <c r="L170" s="5"/>
      <c r="M170" s="5"/>
      <c r="N170" s="5"/>
      <c r="O170" s="5"/>
      <c r="P170" s="5"/>
    </row>
    <row r="171" spans="2:5" ht="12.75">
      <c r="B171" s="10"/>
      <c r="C171" s="3">
        <v>250330</v>
      </c>
      <c r="D171" s="5">
        <f>D65+D108+D100+D80</f>
        <v>11.5</v>
      </c>
      <c r="E171" s="5"/>
    </row>
    <row r="172" spans="2:5" ht="12.75">
      <c r="B172" s="10"/>
      <c r="C172" s="3">
        <v>250326</v>
      </c>
      <c r="D172" s="12">
        <f>D82+D84+D86+D88+D90+D92+D94+D96+D113+D106</f>
        <v>110561.00293999998</v>
      </c>
      <c r="E172" s="5"/>
    </row>
    <row r="173" spans="2:5" ht="12.75">
      <c r="B173" s="10"/>
      <c r="C173" s="131">
        <v>250376</v>
      </c>
      <c r="D173" s="12">
        <f>D116</f>
        <v>1082.074</v>
      </c>
      <c r="E173" s="12"/>
    </row>
    <row r="174" spans="2:9" ht="12.75">
      <c r="B174" s="10"/>
      <c r="C174" s="11">
        <v>250404</v>
      </c>
      <c r="D174" s="5">
        <f aca="true" t="shared" si="34" ref="D174:I174">D35+D147</f>
        <v>6156.374</v>
      </c>
      <c r="E174" s="5">
        <f t="shared" si="34"/>
        <v>6156.374</v>
      </c>
      <c r="F174" s="5">
        <f t="shared" si="34"/>
        <v>0</v>
      </c>
      <c r="G174" s="5">
        <f t="shared" si="34"/>
        <v>0</v>
      </c>
      <c r="H174" s="5">
        <f t="shared" si="34"/>
        <v>0</v>
      </c>
      <c r="I174" s="5">
        <f t="shared" si="34"/>
        <v>1004.9929999999999</v>
      </c>
    </row>
    <row r="175" spans="2:5" ht="12.75">
      <c r="B175" s="10"/>
      <c r="C175" s="11"/>
      <c r="D175" s="5"/>
      <c r="E175" s="5"/>
    </row>
    <row r="176" spans="2:5" ht="12.75">
      <c r="B176" s="10"/>
      <c r="C176" s="11" t="s">
        <v>199</v>
      </c>
      <c r="D176" s="5">
        <f>D128+D131</f>
        <v>87733.524</v>
      </c>
      <c r="E176" s="5"/>
    </row>
    <row r="177" spans="2:5" ht="12.75">
      <c r="B177" s="10"/>
      <c r="D177" s="5"/>
      <c r="E177" s="5"/>
    </row>
    <row r="178" ht="12.75">
      <c r="B178" s="10"/>
    </row>
    <row r="179" spans="2:5" ht="12.75">
      <c r="B179" s="10"/>
      <c r="C179" s="11"/>
      <c r="D179" s="5"/>
      <c r="E179" s="5"/>
    </row>
    <row r="180" spans="1:16" s="6" customFormat="1" ht="12.75">
      <c r="A180" s="3"/>
      <c r="B180" s="10"/>
      <c r="C180" s="3"/>
      <c r="D180" s="3"/>
      <c r="E180" s="3"/>
      <c r="F180" s="3"/>
      <c r="G180" s="3"/>
      <c r="H180" s="3"/>
      <c r="I180" s="3"/>
      <c r="J180" s="3"/>
      <c r="K180" s="3"/>
      <c r="L180" s="3"/>
      <c r="M180" s="3"/>
      <c r="N180" s="3"/>
      <c r="O180" s="3"/>
      <c r="P180" s="3"/>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sheetData>
  <sheetProtection/>
  <mergeCells count="41">
    <mergeCell ref="A23:A24"/>
    <mergeCell ref="A25:A26"/>
    <mergeCell ref="A33:A34"/>
    <mergeCell ref="A59:A60"/>
    <mergeCell ref="A35:A36"/>
    <mergeCell ref="B54:B55"/>
    <mergeCell ref="A54:A55"/>
    <mergeCell ref="A42:A43"/>
    <mergeCell ref="A45:A46"/>
    <mergeCell ref="A48:A49"/>
    <mergeCell ref="A51:A52"/>
    <mergeCell ref="P9:P12"/>
    <mergeCell ref="D9:H9"/>
    <mergeCell ref="K11:K12"/>
    <mergeCell ref="L11:L12"/>
    <mergeCell ref="N11:N12"/>
    <mergeCell ref="J10:J12"/>
    <mergeCell ref="M10:M12"/>
    <mergeCell ref="E11:E12"/>
    <mergeCell ref="N10:O10"/>
    <mergeCell ref="K10:L10"/>
    <mergeCell ref="H10:H12"/>
    <mergeCell ref="I10:I12"/>
    <mergeCell ref="A9:A12"/>
    <mergeCell ref="B9:B12"/>
    <mergeCell ref="E10:G10"/>
    <mergeCell ref="D10:D12"/>
    <mergeCell ref="F11:F12"/>
    <mergeCell ref="G11:G12"/>
    <mergeCell ref="C9:C12"/>
    <mergeCell ref="A103:A104"/>
    <mergeCell ref="A118:A119"/>
    <mergeCell ref="A130:A132"/>
    <mergeCell ref="A133:A134"/>
    <mergeCell ref="A127:A129"/>
    <mergeCell ref="A105:A106"/>
    <mergeCell ref="A125:A126"/>
    <mergeCell ref="A135:A136"/>
    <mergeCell ref="A147:A148"/>
    <mergeCell ref="A144:A145"/>
    <mergeCell ref="A115:A116"/>
  </mergeCells>
  <printOptions/>
  <pageMargins left="0.51" right="0.46" top="0.82" bottom="0.72" header="0.5" footer="0.5"/>
  <pageSetup fitToHeight="3" horizontalDpi="600" verticalDpi="600" orientation="landscape" paperSize="9" scale="49" r:id="rId3"/>
  <rowBreaks count="6" manualBreakCount="6">
    <brk id="40" max="15" man="1"/>
    <brk id="64" max="15" man="1"/>
    <brk id="73" max="15" man="1"/>
    <brk id="86" max="15" man="1"/>
    <brk id="106" max="15" man="1"/>
    <brk id="132"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2016-01-09T13:34:20Z</cp:lastPrinted>
  <dcterms:created xsi:type="dcterms:W3CDTF">2012-05-21T07:59:07Z</dcterms:created>
  <dcterms:modified xsi:type="dcterms:W3CDTF">2016-01-09T13:40:02Z</dcterms:modified>
  <cp:category/>
  <cp:version/>
  <cp:contentType/>
  <cp:contentStatus/>
</cp:coreProperties>
</file>